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colt\Dropbox (Navjoy)\NAVJOY ACTIVE PROJECTS\DRCOG\10107- CMAQ Benefits Evaluation\Final CMAQ Benefits Study Report\"/>
    </mc:Choice>
  </mc:AlternateContent>
  <bookViews>
    <workbookView xWindow="480" yWindow="105" windowWidth="27795" windowHeight="12600"/>
  </bookViews>
  <sheets>
    <sheet name="Travel Time Monitoring" sheetId="3" r:id="rId1"/>
    <sheet name="Flashing Yellow Arrow" sheetId="6" r:id="rId2"/>
    <sheet name="Emission Curves" sheetId="8" r:id="rId3"/>
  </sheets>
  <calcPr calcId="152511"/>
</workbook>
</file>

<file path=xl/calcChain.xml><?xml version="1.0" encoding="utf-8"?>
<calcChain xmlns="http://schemas.openxmlformats.org/spreadsheetml/2006/main">
  <c r="AC18" i="6" l="1"/>
  <c r="AC17" i="6"/>
  <c r="AC16" i="6"/>
  <c r="AC15" i="6"/>
  <c r="AC14" i="6"/>
  <c r="AC13" i="6"/>
  <c r="AC12" i="6"/>
  <c r="AC11" i="6"/>
  <c r="AC10" i="6"/>
  <c r="AC9" i="6"/>
  <c r="W18" i="6"/>
  <c r="W17" i="6"/>
  <c r="W16" i="6"/>
  <c r="W15" i="6"/>
  <c r="W14" i="6"/>
  <c r="W13" i="6"/>
  <c r="W12" i="6"/>
  <c r="W11" i="6"/>
  <c r="W10" i="6"/>
  <c r="W9" i="6"/>
  <c r="Q18" i="6"/>
  <c r="Q17" i="6"/>
  <c r="Q16" i="6"/>
  <c r="Q15" i="6"/>
  <c r="Q14" i="6"/>
  <c r="Q13" i="6"/>
  <c r="Q12" i="6"/>
  <c r="Q11" i="6"/>
  <c r="Q10" i="6"/>
  <c r="Q9" i="6"/>
  <c r="K18" i="6"/>
  <c r="K17" i="6"/>
  <c r="K16" i="6"/>
  <c r="K15" i="6"/>
  <c r="K14" i="6"/>
  <c r="K13" i="6"/>
  <c r="K12" i="6"/>
  <c r="K11" i="6"/>
  <c r="K10" i="6"/>
  <c r="K9" i="6"/>
  <c r="G59" i="8" l="1"/>
  <c r="F59" i="8"/>
  <c r="E59" i="8"/>
  <c r="D59" i="8"/>
  <c r="G58" i="8"/>
  <c r="F58" i="8"/>
  <c r="E58" i="8"/>
  <c r="D58" i="8"/>
  <c r="G57" i="8"/>
  <c r="F57" i="8"/>
  <c r="E57" i="8"/>
  <c r="D57" i="8"/>
  <c r="G56" i="8"/>
  <c r="F56" i="8"/>
  <c r="E56" i="8"/>
  <c r="D56" i="8"/>
  <c r="G54" i="8"/>
  <c r="F54" i="8"/>
  <c r="F53" i="8" s="1"/>
  <c r="F52" i="8" s="1"/>
  <c r="F51" i="8" s="1"/>
  <c r="E54" i="8"/>
  <c r="D54" i="8"/>
  <c r="G53" i="8"/>
  <c r="E53" i="8"/>
  <c r="D53" i="8"/>
  <c r="G52" i="8"/>
  <c r="E52" i="8"/>
  <c r="D52" i="8"/>
  <c r="G51" i="8"/>
  <c r="E51" i="8"/>
  <c r="D51" i="8"/>
  <c r="G49" i="8"/>
  <c r="F49" i="8"/>
  <c r="E49" i="8"/>
  <c r="D49" i="8"/>
  <c r="G48" i="8"/>
  <c r="F48" i="8"/>
  <c r="F47" i="8" s="1"/>
  <c r="F46" i="8" s="1"/>
  <c r="E48" i="8"/>
  <c r="D48" i="8"/>
  <c r="G47" i="8"/>
  <c r="E47" i="8"/>
  <c r="D47" i="8"/>
  <c r="G46" i="8"/>
  <c r="E46" i="8"/>
  <c r="D46" i="8"/>
  <c r="G44" i="8"/>
  <c r="F44" i="8"/>
  <c r="F43" i="8" s="1"/>
  <c r="F42" i="8" s="1"/>
  <c r="F41" i="8" s="1"/>
  <c r="E44" i="8"/>
  <c r="D44" i="8"/>
  <c r="G43" i="8"/>
  <c r="E43" i="8"/>
  <c r="D43" i="8"/>
  <c r="G42" i="8"/>
  <c r="E42" i="8"/>
  <c r="D42" i="8"/>
  <c r="G41" i="8"/>
  <c r="E41" i="8"/>
  <c r="D41" i="8"/>
  <c r="G39" i="8"/>
  <c r="G38" i="8" s="1"/>
  <c r="G37" i="8" s="1"/>
  <c r="G36" i="8" s="1"/>
  <c r="F39" i="8"/>
  <c r="F38" i="8" s="1"/>
  <c r="F37" i="8" s="1"/>
  <c r="F36" i="8" s="1"/>
  <c r="E39" i="8"/>
  <c r="D39" i="8"/>
  <c r="E38" i="8"/>
  <c r="D38" i="8"/>
  <c r="E37" i="8"/>
  <c r="D37" i="8"/>
  <c r="E36" i="8"/>
  <c r="D36" i="8"/>
  <c r="G34" i="8"/>
  <c r="G33" i="8" s="1"/>
  <c r="G32" i="8" s="1"/>
  <c r="G31" i="8" s="1"/>
  <c r="F34" i="8"/>
  <c r="F33" i="8" s="1"/>
  <c r="F32" i="8" s="1"/>
  <c r="F31" i="8" s="1"/>
  <c r="E34" i="8"/>
  <c r="D34" i="8"/>
  <c r="E33" i="8"/>
  <c r="D33" i="8"/>
  <c r="E32" i="8"/>
  <c r="D32" i="8"/>
  <c r="E31" i="8"/>
  <c r="D31" i="8"/>
  <c r="G29" i="8"/>
  <c r="F29" i="8"/>
  <c r="E29" i="8"/>
  <c r="D29" i="8"/>
  <c r="G28" i="8"/>
  <c r="G27" i="8" s="1"/>
  <c r="G26" i="8" s="1"/>
  <c r="F28" i="8"/>
  <c r="F27" i="8" s="1"/>
  <c r="F26" i="8" s="1"/>
  <c r="E28" i="8"/>
  <c r="D28" i="8"/>
  <c r="E27" i="8"/>
  <c r="D27" i="8"/>
  <c r="E26" i="8"/>
  <c r="D26" i="8"/>
  <c r="G24" i="8"/>
  <c r="G23" i="8" s="1"/>
  <c r="G22" i="8" s="1"/>
  <c r="G21" i="8" s="1"/>
  <c r="F24" i="8"/>
  <c r="F23" i="8" s="1"/>
  <c r="F22" i="8" s="1"/>
  <c r="F21" i="8" s="1"/>
  <c r="E24" i="8"/>
  <c r="D24" i="8"/>
  <c r="E23" i="8"/>
  <c r="D23" i="8"/>
  <c r="E22" i="8"/>
  <c r="D22" i="8"/>
  <c r="E21" i="8"/>
  <c r="D21" i="8"/>
  <c r="G19" i="8"/>
  <c r="F19" i="8"/>
  <c r="E19" i="8"/>
  <c r="D19" i="8"/>
  <c r="G18" i="8"/>
  <c r="F18" i="8"/>
  <c r="F17" i="8" s="1"/>
  <c r="F16" i="8" s="1"/>
  <c r="E18" i="8"/>
  <c r="D18" i="8"/>
  <c r="G17" i="8"/>
  <c r="G16" i="8" s="1"/>
  <c r="E17" i="8"/>
  <c r="D17" i="8"/>
  <c r="E16" i="8"/>
  <c r="D16" i="8"/>
  <c r="G14" i="8"/>
  <c r="F14" i="8"/>
  <c r="F13" i="8" s="1"/>
  <c r="F12" i="8" s="1"/>
  <c r="F11" i="8" s="1"/>
  <c r="E14" i="8"/>
  <c r="D14" i="8"/>
  <c r="G13" i="8"/>
  <c r="G12" i="8" s="1"/>
  <c r="G11" i="8" s="1"/>
  <c r="E13" i="8"/>
  <c r="D13" i="8"/>
  <c r="E12" i="8"/>
  <c r="D12" i="8"/>
  <c r="E11" i="8"/>
  <c r="D11" i="8"/>
  <c r="C59" i="8"/>
  <c r="C58" i="8"/>
  <c r="C57" i="8" s="1"/>
  <c r="C56" i="8" s="1"/>
  <c r="C54" i="8"/>
  <c r="C53" i="8"/>
  <c r="C52" i="8" s="1"/>
  <c r="C51" i="8" s="1"/>
  <c r="C49" i="8"/>
  <c r="C48" i="8"/>
  <c r="C47" i="8" s="1"/>
  <c r="C46" i="8" s="1"/>
  <c r="C44" i="8"/>
  <c r="C43" i="8"/>
  <c r="C42" i="8" s="1"/>
  <c r="C41" i="8" s="1"/>
  <c r="C39" i="8"/>
  <c r="C38" i="8"/>
  <c r="C37" i="8" s="1"/>
  <c r="C36" i="8" s="1"/>
  <c r="C34" i="8"/>
  <c r="C33" i="8"/>
  <c r="C32" i="8" s="1"/>
  <c r="C31" i="8" s="1"/>
  <c r="C29" i="8"/>
  <c r="C28" i="8"/>
  <c r="C27" i="8" s="1"/>
  <c r="C26" i="8" s="1"/>
  <c r="C24" i="8"/>
  <c r="C23" i="8"/>
  <c r="C22" i="8" s="1"/>
  <c r="C21" i="8" s="1"/>
  <c r="C19" i="8"/>
  <c r="C18" i="8"/>
  <c r="C17" i="8" s="1"/>
  <c r="C16" i="8" s="1"/>
  <c r="C14" i="8"/>
  <c r="C13" i="8"/>
  <c r="C12" i="8" s="1"/>
  <c r="C11" i="8" s="1"/>
  <c r="F2" i="3" l="1"/>
  <c r="AD11" i="6" l="1"/>
  <c r="X11" i="6"/>
  <c r="R11" i="6"/>
  <c r="L11" i="6"/>
  <c r="AE11" i="6"/>
  <c r="Y11" i="6"/>
  <c r="S11" i="6"/>
  <c r="M11" i="6"/>
  <c r="AE18" i="6"/>
  <c r="S18" i="6"/>
  <c r="AD18" i="6"/>
  <c r="X18" i="6"/>
  <c r="AA18" i="6" s="1"/>
  <c r="R18" i="6"/>
  <c r="L18" i="6"/>
  <c r="Y18" i="6"/>
  <c r="M18" i="6"/>
  <c r="AD12" i="6"/>
  <c r="R12" i="6"/>
  <c r="L12" i="6"/>
  <c r="AE12" i="6"/>
  <c r="Y12" i="6"/>
  <c r="S12" i="6"/>
  <c r="M12" i="6"/>
  <c r="X12" i="6"/>
  <c r="AE10" i="6"/>
  <c r="S10" i="6"/>
  <c r="M10" i="6"/>
  <c r="AD10" i="6"/>
  <c r="X10" i="6"/>
  <c r="R10" i="6"/>
  <c r="L10" i="6"/>
  <c r="Y10" i="6"/>
  <c r="AE9" i="6"/>
  <c r="Y9" i="6"/>
  <c r="S9" i="6"/>
  <c r="M9" i="6"/>
  <c r="AD9" i="6"/>
  <c r="X9" i="6"/>
  <c r="R9" i="6"/>
  <c r="L9" i="6"/>
  <c r="AE13" i="6"/>
  <c r="Y13" i="6"/>
  <c r="S13" i="6"/>
  <c r="M13" i="6"/>
  <c r="AD13" i="6"/>
  <c r="X13" i="6"/>
  <c r="AA13" i="6" s="1"/>
  <c r="R13" i="6"/>
  <c r="L13" i="6"/>
  <c r="AD15" i="6"/>
  <c r="X15" i="6"/>
  <c r="R15" i="6"/>
  <c r="L15" i="6"/>
  <c r="Y15" i="6"/>
  <c r="AA15" i="6" s="1"/>
  <c r="S15" i="6"/>
  <c r="M15" i="6"/>
  <c r="AE15" i="6"/>
  <c r="AE17" i="6"/>
  <c r="Y17" i="6"/>
  <c r="S17" i="6"/>
  <c r="M17" i="6"/>
  <c r="AD17" i="6"/>
  <c r="AG17" i="6" s="1"/>
  <c r="X17" i="6"/>
  <c r="L17" i="6"/>
  <c r="R17" i="6"/>
  <c r="M14" i="6"/>
  <c r="Y14" i="6"/>
  <c r="AD14" i="6"/>
  <c r="X14" i="6"/>
  <c r="R14" i="6"/>
  <c r="L14" i="6"/>
  <c r="AE14" i="6"/>
  <c r="S14" i="6"/>
  <c r="X16" i="6"/>
  <c r="AE16" i="6"/>
  <c r="Y16" i="6"/>
  <c r="S16" i="6"/>
  <c r="M16" i="6"/>
  <c r="AD16" i="6"/>
  <c r="R16" i="6"/>
  <c r="L16" i="6"/>
  <c r="AF9" i="3"/>
  <c r="AG9" i="3" s="1"/>
  <c r="I9" i="3"/>
  <c r="M9" i="3" s="1"/>
  <c r="N9" i="3" s="1"/>
  <c r="I6" i="3"/>
  <c r="M6" i="3" s="1"/>
  <c r="I7" i="3"/>
  <c r="M7" i="3" s="1"/>
  <c r="N7" i="3" s="1"/>
  <c r="I8" i="3"/>
  <c r="T8" i="3" s="1"/>
  <c r="U8" i="3" s="1"/>
  <c r="K7" i="3"/>
  <c r="L7" i="3" s="1"/>
  <c r="R7" i="3"/>
  <c r="S7" i="3" s="1"/>
  <c r="Y7" i="3"/>
  <c r="Z7" i="3" s="1"/>
  <c r="AF7" i="3"/>
  <c r="AG7" i="3" s="1"/>
  <c r="K6" i="3"/>
  <c r="L6" i="3" s="1"/>
  <c r="R6" i="3"/>
  <c r="S6" i="3" s="1"/>
  <c r="Y6" i="3"/>
  <c r="Z6" i="3" s="1"/>
  <c r="AF6" i="3"/>
  <c r="AG6" i="3" s="1"/>
  <c r="K9" i="3"/>
  <c r="L9" i="3" s="1"/>
  <c r="R9" i="3"/>
  <c r="S9" i="3" s="1"/>
  <c r="Y9" i="3"/>
  <c r="Z9" i="3" s="1"/>
  <c r="K8" i="3"/>
  <c r="L8" i="3" s="1"/>
  <c r="R8" i="3"/>
  <c r="S8" i="3" s="1"/>
  <c r="Y8" i="3"/>
  <c r="Z8" i="3" s="1"/>
  <c r="AF8" i="3"/>
  <c r="AG8" i="3" s="1"/>
  <c r="O11" i="6"/>
  <c r="AG15" i="6" l="1"/>
  <c r="AH9" i="3"/>
  <c r="AI9" i="3" s="1"/>
  <c r="AK9" i="3" s="1"/>
  <c r="T9" i="3"/>
  <c r="U9" i="3" s="1"/>
  <c r="W9" i="3" s="1"/>
  <c r="T7" i="3"/>
  <c r="U7" i="3" s="1"/>
  <c r="W7" i="3" s="1"/>
  <c r="U17" i="6"/>
  <c r="AH7" i="3"/>
  <c r="AI7" i="3" s="1"/>
  <c r="AK7" i="3" s="1"/>
  <c r="AA9" i="3"/>
  <c r="AB9" i="3" s="1"/>
  <c r="AD9" i="3" s="1"/>
  <c r="AA7" i="3"/>
  <c r="AB7" i="3" s="1"/>
  <c r="AD7" i="3" s="1"/>
  <c r="AA8" i="3"/>
  <c r="AB8" i="3" s="1"/>
  <c r="AD8" i="3" s="1"/>
  <c r="M8" i="3"/>
  <c r="N8" i="3" s="1"/>
  <c r="P8" i="3" s="1"/>
  <c r="T6" i="3"/>
  <c r="U6" i="3" s="1"/>
  <c r="W6" i="3" s="1"/>
  <c r="AH8" i="3"/>
  <c r="AI8" i="3" s="1"/>
  <c r="AK8" i="3" s="1"/>
  <c r="AH6" i="3"/>
  <c r="AI6" i="3" s="1"/>
  <c r="AK6" i="3" s="1"/>
  <c r="AA6" i="3"/>
  <c r="AB6" i="3" s="1"/>
  <c r="AD6" i="3" s="1"/>
  <c r="U15" i="6"/>
  <c r="O13" i="6"/>
  <c r="AA17" i="6"/>
  <c r="P7" i="3"/>
  <c r="U18" i="6"/>
  <c r="AG16" i="6"/>
  <c r="O16" i="6"/>
  <c r="U16" i="6"/>
  <c r="O15" i="6"/>
  <c r="U14" i="6"/>
  <c r="AG14" i="6"/>
  <c r="AA12" i="6"/>
  <c r="AA10" i="6"/>
  <c r="AG11" i="6"/>
  <c r="U13" i="6"/>
  <c r="AA14" i="6"/>
  <c r="AA9" i="6"/>
  <c r="AG13" i="6"/>
  <c r="AG18" i="6"/>
  <c r="O17" i="6"/>
  <c r="O18" i="6"/>
  <c r="AA16" i="6"/>
  <c r="O14" i="6"/>
  <c r="P9" i="3"/>
  <c r="U9" i="6"/>
  <c r="AG12" i="6"/>
  <c r="O9" i="6"/>
  <c r="U12" i="6"/>
  <c r="AG10" i="6"/>
  <c r="U10" i="6"/>
  <c r="O10" i="6"/>
  <c r="O12" i="6"/>
  <c r="U11" i="6"/>
  <c r="AG9" i="6"/>
  <c r="AA11" i="6"/>
  <c r="W8" i="3"/>
  <c r="N6" i="3"/>
  <c r="P6" i="3" s="1"/>
  <c r="C40" i="6" l="1"/>
  <c r="E40" i="6" s="1"/>
  <c r="F40" i="6" s="1"/>
  <c r="C23" i="3"/>
  <c r="E23" i="3" s="1"/>
  <c r="F23" i="3" s="1"/>
  <c r="G23" i="3" s="1"/>
  <c r="C25" i="3"/>
  <c r="C42" i="6"/>
  <c r="C41" i="6"/>
  <c r="E41" i="6" s="1"/>
  <c r="F41" i="6" s="1"/>
  <c r="C24" i="3"/>
  <c r="E24" i="3" s="1"/>
  <c r="F24" i="3" s="1"/>
  <c r="G24" i="3" s="1"/>
  <c r="C43" i="6"/>
  <c r="E43" i="6" s="1"/>
  <c r="F43" i="6" s="1"/>
  <c r="C26" i="3"/>
  <c r="E26" i="3" s="1"/>
  <c r="F26" i="3" s="1"/>
  <c r="G26" i="3" s="1"/>
  <c r="G40" i="6" l="1"/>
  <c r="F49" i="6"/>
  <c r="G49" i="6" s="1"/>
  <c r="G41" i="6"/>
  <c r="F50" i="6"/>
  <c r="G50" i="6" s="1"/>
  <c r="G43" i="6"/>
  <c r="F52" i="6"/>
  <c r="G52" i="6" s="1"/>
  <c r="E42" i="6"/>
  <c r="F42" i="6" s="1"/>
  <c r="E25" i="3"/>
  <c r="F25" i="3" s="1"/>
  <c r="G25" i="3" s="1"/>
  <c r="C45" i="6"/>
  <c r="E45" i="6" s="1"/>
  <c r="F45" i="6" s="1"/>
  <c r="G45" i="6" s="1"/>
  <c r="F35" i="3"/>
  <c r="C28" i="3"/>
  <c r="E28" i="3" s="1"/>
  <c r="F28" i="3" s="1"/>
  <c r="G28" i="3" s="1"/>
  <c r="F33" i="3"/>
  <c r="F32" i="3"/>
  <c r="F51" i="6" l="1"/>
  <c r="G51" i="6" s="1"/>
  <c r="G42" i="6"/>
  <c r="F34" i="3"/>
  <c r="G34" i="3" s="1"/>
  <c r="G32" i="3"/>
  <c r="G33" i="3"/>
  <c r="G35" i="3"/>
</calcChain>
</file>

<file path=xl/sharedStrings.xml><?xml version="1.0" encoding="utf-8"?>
<sst xmlns="http://schemas.openxmlformats.org/spreadsheetml/2006/main" count="184" uniqueCount="94">
  <si>
    <t>Travel Time Monitoring System</t>
  </si>
  <si>
    <t>Flashing Yellow Arrow Implementation</t>
  </si>
  <si>
    <t>Project Data</t>
  </si>
  <si>
    <t>Corridor (s)</t>
  </si>
  <si>
    <t>Volume</t>
  </si>
  <si>
    <t>Speed (before)</t>
  </si>
  <si>
    <t>Speed (after)</t>
  </si>
  <si>
    <t>Arapahoe Road</t>
  </si>
  <si>
    <t>I-25 to Parker Road</t>
  </si>
  <si>
    <t>Chambers Road</t>
  </si>
  <si>
    <t xml:space="preserve">Colfax Avenue to Hampden Avenue </t>
  </si>
  <si>
    <t>Intersections</t>
  </si>
  <si>
    <t>Peak Hours (3-6)</t>
  </si>
  <si>
    <t>Peak Hours (6-9)</t>
  </si>
  <si>
    <t>Emissions</t>
  </si>
  <si>
    <t>CO</t>
  </si>
  <si>
    <t>CO2</t>
  </si>
  <si>
    <t>NOX</t>
  </si>
  <si>
    <t>Benefit</t>
  </si>
  <si>
    <t>gal</t>
  </si>
  <si>
    <t>grams</t>
  </si>
  <si>
    <t>mph</t>
  </si>
  <si>
    <t>(veh*mi)</t>
  </si>
  <si>
    <t>SPEED</t>
  </si>
  <si>
    <t>FUEL</t>
  </si>
  <si>
    <t>Note the denominator for this value is veh*hr - it is the idle value</t>
  </si>
  <si>
    <t>Chambers/Colfax (NB/SB)</t>
  </si>
  <si>
    <t>Chambers/6th(NB/SB/EB/WB)</t>
  </si>
  <si>
    <t>Chambers/Alameda(NB/SB)</t>
  </si>
  <si>
    <t>Chambers/Iliff(NB/SB/EB/WB)</t>
  </si>
  <si>
    <t>Chambers/Hampden(NB/SB)</t>
  </si>
  <si>
    <t>N/A</t>
  </si>
  <si>
    <t>Direction</t>
  </si>
  <si>
    <t>Eastbound</t>
  </si>
  <si>
    <t>Westbound</t>
  </si>
  <si>
    <t>Northbound</t>
  </si>
  <si>
    <t>Southbound</t>
  </si>
  <si>
    <t>CO Emissions (Before)</t>
  </si>
  <si>
    <t>CO Emissions (After)</t>
  </si>
  <si>
    <t>CO Output Rate (After)</t>
  </si>
  <si>
    <t>CO Output Rate (Before)</t>
  </si>
  <si>
    <t>CO2 Output Rate (Before)</t>
  </si>
  <si>
    <t>CO2 Emissions (Before)</t>
  </si>
  <si>
    <t>CO2 Output Rate (After)</t>
  </si>
  <si>
    <t>CO2 Emissions (After)</t>
  </si>
  <si>
    <t>NOX Output Rate (Before)</t>
  </si>
  <si>
    <t>NOX Emissions (Before)</t>
  </si>
  <si>
    <t>NOX Output Rate (After)</t>
  </si>
  <si>
    <t>NOX Emissions (After)</t>
  </si>
  <si>
    <t>Off Peak (9-6)*</t>
  </si>
  <si>
    <t>CO Output Rate (Idle)</t>
  </si>
  <si>
    <t>*Emissions for this project are calculated based on idle times, which are output in grams per vehicle hour</t>
  </si>
  <si>
    <t>Total Benefit (Lbs/year)</t>
  </si>
  <si>
    <t>Project Cost</t>
  </si>
  <si>
    <t>Total Benefit (Tons/year)</t>
  </si>
  <si>
    <t>Total Daily Benefit</t>
  </si>
  <si>
    <t>All Pollutant Totals</t>
  </si>
  <si>
    <t>Total Daily Benefits (grams)</t>
  </si>
  <si>
    <t>Emissions (grams per vehicle mile)</t>
  </si>
  <si>
    <t>Length</t>
  </si>
  <si>
    <t>Daily Impact Period</t>
  </si>
  <si>
    <t>Annual Impact Period (days)</t>
  </si>
  <si>
    <t>Project Life Cycle (years)</t>
  </si>
  <si>
    <t>Estimated Speed Increase Default (MPH)</t>
  </si>
  <si>
    <t>Total Benefit (Tons/Project Life Cycle)</t>
  </si>
  <si>
    <t>Dollars per ton of Pollutant/Project Life Cycle</t>
  </si>
  <si>
    <t>Dollars per ton/year of Pollutant</t>
  </si>
  <si>
    <t>Grams to Pounds (conversion factor)</t>
  </si>
  <si>
    <t>Pounds to Tons (conversion factor)</t>
  </si>
  <si>
    <t>VOC</t>
  </si>
  <si>
    <t>VOC Output Rate (Before)</t>
  </si>
  <si>
    <t>VOC Emissions (Before)</t>
  </si>
  <si>
    <t>VOC Output Rate (After)</t>
  </si>
  <si>
    <t>VOC Emissions (After)</t>
  </si>
  <si>
    <t>These daily pollutant emission and fuel consumption rates have been calculated from MOVES 2014a and are based on model runs for summer weekdays on urban unrestricted roadways in 2015.</t>
  </si>
  <si>
    <t>Emissions Benefits Summary Table</t>
  </si>
  <si>
    <t xml:space="preserve">The only modification project sponsor will make to this Table is to ensure that all rows of each pollutant Benefit from the spreadsheet are </t>
  </si>
  <si>
    <t>Add Rows as Necessary Above This Line</t>
  </si>
  <si>
    <t>included in the formula in C22 through C25 on this Table.</t>
  </si>
  <si>
    <t>Project Sponsor Data Input Parameters and Default Values</t>
  </si>
  <si>
    <t>Represents project sponsor required data input parameters.</t>
  </si>
  <si>
    <t>Represents default values that should not be changed unless substainiated by project sponsor.</t>
  </si>
  <si>
    <t>Do not change the name of the Emission Curves tab as it is used as a "look up" table in the spreadsheet.</t>
  </si>
  <si>
    <t>Emissions (grams per vehcile hour)</t>
  </si>
  <si>
    <t>Seconds to Hours (conversion factor)</t>
  </si>
  <si>
    <t>CO Output Rate</t>
  </si>
  <si>
    <t>CO2 Output Rate</t>
  </si>
  <si>
    <t>VOC Output Rate</t>
  </si>
  <si>
    <t>NOX Output Rate</t>
  </si>
  <si>
    <t>Represents emission output rates from Emission Curves Table that can not be changed.</t>
  </si>
  <si>
    <t>included in the formula in C40 through C43 on this Table.</t>
  </si>
  <si>
    <t>Delay in seconds (before)</t>
  </si>
  <si>
    <t>Delay in seconds (after)</t>
  </si>
  <si>
    <t>Segment Limits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</si>
</sst>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#&quot; miles&quot;"/>
    <numFmt numFmtId="167" formatCode="0#&quot; sec&quot;"/>
    <numFmt numFmtId="168" formatCode="_(&quot;$&quot;* #,##0_);_(&quot;$&quot;* \(#,##0\);_(&quot;$&quot;* &quot;-&quot;??_);_(@_)"/>
    <numFmt numFmtId="169" formatCode="_(* #,##0.0_);_(* \(#,##0.0\);_(* &quot;-&quot;??_);_(@_)"/>
    <numFmt numFmtId="170" formatCode="0&quot; grams&quot;"/>
    <numFmt numFmtId="171" formatCode="_(* #,##0_);_(* \(#,##0\);_(* &quot;-&quot;??_);_(@_)"/>
    <numFmt numFmtId="172" formatCode="0.0_);\(0.0\)"/>
  </numFmts>
  <fonts count="7" x14ac:knownFonts="1">
    <font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auto="1"/>
        <bgColor indexed="64"/>
      </patternFill>
    </fill>
    <fill>
      <patternFill patternType="solid">
        <fgColor auto="1"/>
        <bgColor indexed="8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C000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thin">
        <color indexed="64"/>
      </bottom>
      <diagonal/>
    </border>
    <border>
      <left/>
      <right style="medium">
        <color auto="1"/>
      </right>
      <top/>
      <bottom style="thin">
        <color indexed="64"/>
      </bottom>
      <diagonal/>
    </border>
    <border>
      <left style="medium">
        <color auto="1"/>
      </left>
      <right/>
      <top style="thin">
        <color indexed="64"/>
      </top>
      <bottom/>
      <diagonal/>
    </border>
    <border>
      <left/>
      <right style="medium">
        <color auto="1"/>
      </right>
      <top style="thin">
        <color indexed="64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119">
    <xf numFmtId="0" fontId="0" fillId="0" borderId="0" xfId="0"/>
    <xf numFmtId="0" fontId="1" fillId="0" borderId="0" xfId="0" applyFont="1"/>
    <xf numFmtId="0" fontId="0" fillId="0" borderId="0" xfId="0" applyFill="1" applyBorder="1"/>
    <xf numFmtId="0" fontId="0" fillId="0" borderId="0" xfId="0" applyBorder="1"/>
    <xf numFmtId="164" fontId="0" fillId="0" borderId="0" xfId="0" applyNumberFormat="1"/>
    <xf numFmtId="166" fontId="0" fillId="0" borderId="0" xfId="0" applyNumberFormat="1"/>
    <xf numFmtId="0" fontId="0" fillId="0" borderId="2" xfId="0" applyBorder="1"/>
    <xf numFmtId="0" fontId="2" fillId="2" borderId="0" xfId="0" applyFont="1" applyFill="1" applyAlignment="1" applyProtection="1">
      <alignment horizontal="left"/>
      <protection locked="0" hidden="1"/>
    </xf>
    <xf numFmtId="0" fontId="2" fillId="2" borderId="0" xfId="0" applyFont="1" applyFill="1" applyProtection="1">
      <protection locked="0" hidden="1"/>
    </xf>
    <xf numFmtId="0" fontId="0" fillId="0" borderId="0" xfId="0" applyProtection="1">
      <protection locked="0" hidden="1"/>
    </xf>
    <xf numFmtId="0" fontId="2" fillId="2" borderId="0" xfId="0" applyFont="1" applyFill="1" applyAlignment="1" applyProtection="1">
      <alignment horizontal="center"/>
      <protection locked="0" hidden="1"/>
    </xf>
    <xf numFmtId="0" fontId="2" fillId="2" borderId="2" xfId="0" applyFont="1" applyFill="1" applyBorder="1" applyAlignment="1" applyProtection="1">
      <alignment horizontal="center"/>
      <protection locked="0" hidden="1"/>
    </xf>
    <xf numFmtId="0" fontId="2" fillId="2" borderId="0" xfId="0" applyFont="1" applyFill="1" applyProtection="1"/>
    <xf numFmtId="0" fontId="2" fillId="2" borderId="3" xfId="0" applyFont="1" applyFill="1" applyBorder="1" applyAlignment="1" applyProtection="1">
      <alignment horizontal="center"/>
    </xf>
    <xf numFmtId="0" fontId="2" fillId="2" borderId="4" xfId="0" applyFont="1" applyFill="1" applyBorder="1" applyAlignment="1" applyProtection="1">
      <alignment horizontal="center"/>
    </xf>
    <xf numFmtId="0" fontId="2" fillId="3" borderId="0" xfId="0" applyFont="1" applyFill="1" applyAlignment="1" applyProtection="1">
      <alignment horizontal="center"/>
    </xf>
    <xf numFmtId="0" fontId="2" fillId="2" borderId="0" xfId="0" applyFont="1" applyFill="1" applyAlignment="1" applyProtection="1">
      <alignment horizontal="center"/>
    </xf>
    <xf numFmtId="165" fontId="2" fillId="2" borderId="0" xfId="0" applyNumberFormat="1" applyFont="1" applyFill="1" applyProtection="1">
      <protection locked="0" hidden="1"/>
    </xf>
    <xf numFmtId="2" fontId="2" fillId="2" borderId="0" xfId="0" applyNumberFormat="1" applyFont="1" applyFill="1" applyProtection="1">
      <protection locked="0" hidden="1"/>
    </xf>
    <xf numFmtId="167" fontId="0" fillId="0" borderId="0" xfId="0" applyNumberFormat="1"/>
    <xf numFmtId="1" fontId="0" fillId="0" borderId="0" xfId="0" applyNumberFormat="1"/>
    <xf numFmtId="1" fontId="0" fillId="0" borderId="0" xfId="0" applyNumberFormat="1" applyBorder="1"/>
    <xf numFmtId="2" fontId="0" fillId="0" borderId="0" xfId="0" applyNumberFormat="1"/>
    <xf numFmtId="165" fontId="0" fillId="0" borderId="0" xfId="0" applyNumberFormat="1"/>
    <xf numFmtId="0" fontId="0" fillId="0" borderId="5" xfId="0" applyBorder="1"/>
    <xf numFmtId="0" fontId="4" fillId="0" borderId="2" xfId="0" applyFont="1" applyBorder="1"/>
    <xf numFmtId="0" fontId="4" fillId="0" borderId="1" xfId="0" applyFont="1" applyBorder="1"/>
    <xf numFmtId="0" fontId="4" fillId="0" borderId="0" xfId="0" applyFont="1"/>
    <xf numFmtId="0" fontId="4" fillId="0" borderId="0" xfId="0" applyFont="1" applyBorder="1"/>
    <xf numFmtId="0" fontId="5" fillId="0" borderId="0" xfId="0" applyFont="1" applyBorder="1"/>
    <xf numFmtId="171" fontId="0" fillId="0" borderId="5" xfId="2" applyNumberFormat="1" applyFont="1" applyBorder="1"/>
    <xf numFmtId="169" fontId="0" fillId="0" borderId="0" xfId="2" applyNumberFormat="1" applyFont="1"/>
    <xf numFmtId="171" fontId="0" fillId="0" borderId="0" xfId="2" applyNumberFormat="1" applyFont="1"/>
    <xf numFmtId="0" fontId="5" fillId="0" borderId="0" xfId="0" applyFont="1"/>
    <xf numFmtId="171" fontId="0" fillId="0" borderId="0" xfId="2" applyNumberFormat="1" applyFont="1" applyBorder="1"/>
    <xf numFmtId="43" fontId="0" fillId="0" borderId="0" xfId="2" applyNumberFormat="1" applyFont="1"/>
    <xf numFmtId="172" fontId="0" fillId="0" borderId="0" xfId="0" applyNumberFormat="1"/>
    <xf numFmtId="0" fontId="4" fillId="0" borderId="0" xfId="0" applyFont="1" applyAlignment="1">
      <alignment wrapText="1"/>
    </xf>
    <xf numFmtId="44" fontId="0" fillId="4" borderId="10" xfId="1" applyFont="1" applyFill="1" applyBorder="1"/>
    <xf numFmtId="0" fontId="0" fillId="4" borderId="10" xfId="0" applyFill="1" applyBorder="1"/>
    <xf numFmtId="169" fontId="0" fillId="0" borderId="0" xfId="2" applyNumberFormat="1" applyFont="1" applyBorder="1"/>
    <xf numFmtId="0" fontId="4" fillId="0" borderId="2" xfId="0" applyFont="1" applyBorder="1" applyAlignment="1">
      <alignment wrapText="1"/>
    </xf>
    <xf numFmtId="164" fontId="0" fillId="0" borderId="5" xfId="0" applyNumberFormat="1" applyFont="1" applyBorder="1"/>
    <xf numFmtId="0" fontId="4" fillId="5" borderId="10" xfId="0" applyFont="1" applyFill="1" applyBorder="1"/>
    <xf numFmtId="0" fontId="4" fillId="4" borderId="1" xfId="0" applyFont="1" applyFill="1" applyBorder="1"/>
    <xf numFmtId="0" fontId="0" fillId="0" borderId="12" xfId="0" applyBorder="1"/>
    <xf numFmtId="0" fontId="0" fillId="0" borderId="14" xfId="0" applyBorder="1"/>
    <xf numFmtId="0" fontId="0" fillId="0" borderId="15" xfId="0" applyBorder="1"/>
    <xf numFmtId="0" fontId="5" fillId="0" borderId="16" xfId="0" applyFont="1" applyBorder="1"/>
    <xf numFmtId="0" fontId="4" fillId="0" borderId="17" xfId="0" applyFont="1" applyBorder="1" applyAlignment="1">
      <alignment wrapText="1"/>
    </xf>
    <xf numFmtId="164" fontId="0" fillId="0" borderId="0" xfId="0" applyNumberFormat="1" applyFont="1" applyBorder="1"/>
    <xf numFmtId="168" fontId="4" fillId="0" borderId="15" xfId="0" applyNumberFormat="1" applyFont="1" applyBorder="1"/>
    <xf numFmtId="170" fontId="0" fillId="0" borderId="0" xfId="0" applyNumberFormat="1" applyBorder="1"/>
    <xf numFmtId="0" fontId="0" fillId="0" borderId="18" xfId="0" applyBorder="1"/>
    <xf numFmtId="168" fontId="4" fillId="0" borderId="19" xfId="0" applyNumberFormat="1" applyFont="1" applyBorder="1"/>
    <xf numFmtId="44" fontId="4" fillId="0" borderId="15" xfId="0" applyNumberFormat="1" applyFont="1" applyBorder="1"/>
    <xf numFmtId="164" fontId="0" fillId="0" borderId="0" xfId="0" applyNumberFormat="1" applyBorder="1"/>
    <xf numFmtId="44" fontId="0" fillId="0" borderId="15" xfId="0" applyNumberFormat="1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2" fontId="2" fillId="0" borderId="3" xfId="0" applyNumberFormat="1" applyFont="1" applyFill="1" applyBorder="1" applyAlignment="1" applyProtection="1">
      <alignment horizontal="center"/>
    </xf>
    <xf numFmtId="171" fontId="2" fillId="0" borderId="4" xfId="2" applyNumberFormat="1" applyFont="1" applyFill="1" applyBorder="1" applyAlignment="1" applyProtection="1">
      <alignment horizontal="center"/>
    </xf>
    <xf numFmtId="171" fontId="2" fillId="0" borderId="3" xfId="2" applyNumberFormat="1" applyFont="1" applyFill="1" applyBorder="1" applyAlignment="1" applyProtection="1">
      <alignment horizontal="center"/>
    </xf>
    <xf numFmtId="0" fontId="0" fillId="5" borderId="10" xfId="0" applyFill="1" applyBorder="1"/>
    <xf numFmtId="0" fontId="4" fillId="0" borderId="11" xfId="0" applyFont="1" applyFill="1" applyBorder="1" applyAlignment="1"/>
    <xf numFmtId="0" fontId="4" fillId="0" borderId="12" xfId="0" applyFont="1" applyFill="1" applyBorder="1" applyAlignment="1"/>
    <xf numFmtId="0" fontId="4" fillId="0" borderId="13" xfId="0" applyFont="1" applyFill="1" applyBorder="1" applyAlignment="1"/>
    <xf numFmtId="0" fontId="4" fillId="0" borderId="14" xfId="0" applyFont="1" applyFill="1" applyBorder="1" applyAlignment="1"/>
    <xf numFmtId="0" fontId="4" fillId="0" borderId="0" xfId="0" applyFont="1" applyFill="1" applyBorder="1" applyAlignment="1"/>
    <xf numFmtId="0" fontId="4" fillId="0" borderId="15" xfId="0" applyFont="1" applyFill="1" applyBorder="1" applyAlignment="1"/>
    <xf numFmtId="2" fontId="0" fillId="0" borderId="12" xfId="0" applyNumberFormat="1" applyBorder="1"/>
    <xf numFmtId="171" fontId="0" fillId="0" borderId="12" xfId="2" applyNumberFormat="1" applyFont="1" applyBorder="1"/>
    <xf numFmtId="169" fontId="0" fillId="0" borderId="12" xfId="2" applyNumberFormat="1" applyFont="1" applyBorder="1"/>
    <xf numFmtId="164" fontId="0" fillId="0" borderId="12" xfId="0" applyNumberFormat="1" applyBorder="1"/>
    <xf numFmtId="165" fontId="0" fillId="0" borderId="12" xfId="0" applyNumberFormat="1" applyBorder="1"/>
    <xf numFmtId="0" fontId="6" fillId="0" borderId="0" xfId="0" applyFont="1" applyBorder="1" applyAlignment="1">
      <alignment horizontal="center"/>
    </xf>
    <xf numFmtId="2" fontId="0" fillId="0" borderId="0" xfId="0" applyNumberFormat="1" applyBorder="1"/>
    <xf numFmtId="165" fontId="0" fillId="0" borderId="0" xfId="0" applyNumberFormat="1" applyBorder="1"/>
    <xf numFmtId="0" fontId="4" fillId="0" borderId="15" xfId="0" applyFont="1" applyBorder="1" applyAlignment="1">
      <alignment wrapText="1"/>
    </xf>
    <xf numFmtId="171" fontId="0" fillId="0" borderId="15" xfId="2" applyNumberFormat="1" applyFont="1" applyBorder="1"/>
    <xf numFmtId="2" fontId="0" fillId="0" borderId="21" xfId="0" applyNumberFormat="1" applyBorder="1"/>
    <xf numFmtId="171" fontId="0" fillId="0" borderId="21" xfId="2" applyNumberFormat="1" applyFont="1" applyBorder="1"/>
    <xf numFmtId="171" fontId="0" fillId="0" borderId="22" xfId="2" applyNumberFormat="1" applyFont="1" applyBorder="1"/>
    <xf numFmtId="0" fontId="0" fillId="4" borderId="6" xfId="0" applyFill="1" applyBorder="1"/>
    <xf numFmtId="0" fontId="0" fillId="8" borderId="6" xfId="0" applyFill="1" applyBorder="1"/>
    <xf numFmtId="0" fontId="4" fillId="4" borderId="1" xfId="0" applyFont="1" applyFill="1" applyBorder="1" applyAlignment="1">
      <alignment horizontal="center"/>
    </xf>
    <xf numFmtId="0" fontId="0" fillId="5" borderId="27" xfId="0" applyFill="1" applyBorder="1"/>
    <xf numFmtId="2" fontId="2" fillId="9" borderId="10" xfId="0" applyNumberFormat="1" applyFont="1" applyFill="1" applyBorder="1" applyAlignment="1" applyProtection="1"/>
    <xf numFmtId="171" fontId="2" fillId="9" borderId="10" xfId="2" applyNumberFormat="1" applyFont="1" applyFill="1" applyBorder="1" applyAlignment="1" applyProtection="1">
      <alignment horizontal="center"/>
    </xf>
    <xf numFmtId="0" fontId="0" fillId="9" borderId="8" xfId="0" applyFill="1" applyBorder="1" applyAlignment="1"/>
    <xf numFmtId="0" fontId="0" fillId="9" borderId="7" xfId="0" applyFill="1" applyBorder="1" applyAlignment="1"/>
    <xf numFmtId="2" fontId="0" fillId="0" borderId="5" xfId="0" applyNumberFormat="1" applyFont="1" applyBorder="1"/>
    <xf numFmtId="2" fontId="0" fillId="0" borderId="0" xfId="0" applyNumberFormat="1" applyFont="1" applyBorder="1"/>
    <xf numFmtId="2" fontId="0" fillId="0" borderId="5" xfId="0" applyNumberFormat="1" applyBorder="1"/>
    <xf numFmtId="44" fontId="0" fillId="0" borderId="19" xfId="0" applyNumberFormat="1" applyBorder="1"/>
    <xf numFmtId="0" fontId="4" fillId="4" borderId="1" xfId="0" applyFont="1" applyFill="1" applyBorder="1" applyAlignment="1">
      <alignment wrapText="1"/>
    </xf>
    <xf numFmtId="0" fontId="4" fillId="0" borderId="28" xfId="0" applyFont="1" applyBorder="1" applyAlignment="1">
      <alignment wrapText="1"/>
    </xf>
    <xf numFmtId="0" fontId="4" fillId="0" borderId="0" xfId="0" applyFont="1" applyBorder="1" applyAlignment="1"/>
    <xf numFmtId="0" fontId="4" fillId="0" borderId="5" xfId="0" applyFont="1" applyBorder="1" applyAlignment="1">
      <alignment horizontal="left" wrapText="1"/>
    </xf>
    <xf numFmtId="0" fontId="4" fillId="0" borderId="9" xfId="0" applyFont="1" applyBorder="1" applyAlignment="1">
      <alignment horizontal="left" wrapText="1"/>
    </xf>
    <xf numFmtId="0" fontId="4" fillId="0" borderId="2" xfId="0" applyFont="1" applyBorder="1" applyAlignment="1">
      <alignment horizontal="left" wrapText="1"/>
    </xf>
    <xf numFmtId="0" fontId="4" fillId="0" borderId="26" xfId="0" applyFont="1" applyBorder="1" applyAlignment="1">
      <alignment horizontal="left" wrapText="1"/>
    </xf>
    <xf numFmtId="0" fontId="4" fillId="6" borderId="23" xfId="0" applyFont="1" applyFill="1" applyBorder="1" applyAlignment="1">
      <alignment horizontal="center"/>
    </xf>
    <xf numFmtId="0" fontId="4" fillId="6" borderId="24" xfId="0" applyFont="1" applyFill="1" applyBorder="1" applyAlignment="1">
      <alignment horizontal="center"/>
    </xf>
    <xf numFmtId="0" fontId="4" fillId="6" borderId="25" xfId="0" applyFont="1" applyFill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4" fillId="7" borderId="23" xfId="0" applyFont="1" applyFill="1" applyBorder="1" applyAlignment="1">
      <alignment horizontal="center"/>
    </xf>
    <xf numFmtId="0" fontId="4" fillId="7" borderId="24" xfId="0" applyFont="1" applyFill="1" applyBorder="1" applyAlignment="1">
      <alignment horizontal="center"/>
    </xf>
    <xf numFmtId="0" fontId="4" fillId="7" borderId="25" xfId="0" applyFont="1" applyFill="1" applyBorder="1" applyAlignment="1">
      <alignment horizontal="center"/>
    </xf>
    <xf numFmtId="2" fontId="0" fillId="0" borderId="6" xfId="0" applyNumberFormat="1" applyBorder="1" applyAlignment="1">
      <alignment horizontal="left" vertical="center"/>
    </xf>
    <xf numFmtId="2" fontId="0" fillId="0" borderId="6" xfId="0" applyNumberFormat="1" applyBorder="1" applyAlignment="1">
      <alignment horizontal="left" wrapText="1"/>
    </xf>
    <xf numFmtId="0" fontId="0" fillId="0" borderId="8" xfId="0" applyBorder="1" applyAlignment="1">
      <alignment horizontal="left" wrapText="1"/>
    </xf>
    <xf numFmtId="0" fontId="0" fillId="0" borderId="7" xfId="0" applyBorder="1" applyAlignment="1">
      <alignment horizontal="left" wrapText="1"/>
    </xf>
    <xf numFmtId="0" fontId="0" fillId="0" borderId="0" xfId="0" applyAlignment="1">
      <alignment horizontal="left" wrapText="1"/>
    </xf>
    <xf numFmtId="2" fontId="0" fillId="0" borderId="8" xfId="0" applyNumberFormat="1" applyBorder="1" applyAlignment="1">
      <alignment horizontal="left" wrapText="1"/>
    </xf>
    <xf numFmtId="2" fontId="0" fillId="0" borderId="7" xfId="0" applyNumberFormat="1" applyBorder="1" applyAlignment="1">
      <alignment horizontal="left" wrapText="1"/>
    </xf>
    <xf numFmtId="0" fontId="0" fillId="8" borderId="8" xfId="0" applyFill="1" applyBorder="1" applyAlignment="1">
      <alignment horizontal="center"/>
    </xf>
    <xf numFmtId="0" fontId="0" fillId="8" borderId="7" xfId="0" applyFill="1" applyBorder="1" applyAlignment="1">
      <alignment horizontal="center"/>
    </xf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P36"/>
  <sheetViews>
    <sheetView tabSelected="1" zoomScale="90" zoomScaleNormal="90" workbookViewId="0">
      <pane xSplit="7" topLeftCell="H1" activePane="topRight" state="frozen"/>
      <selection pane="topRight" activeCell="I6" sqref="I6"/>
    </sheetView>
  </sheetViews>
  <sheetFormatPr defaultRowHeight="15" x14ac:dyDescent="0.25"/>
  <cols>
    <col min="1" max="1" width="5.140625" customWidth="1"/>
    <col min="2" max="2" width="19.5703125" customWidth="1"/>
    <col min="3" max="3" width="21.5703125" customWidth="1"/>
    <col min="4" max="4" width="10.5703125" bestFit="1" customWidth="1"/>
    <col min="5" max="5" width="26.42578125" bestFit="1" customWidth="1"/>
    <col min="6" max="6" width="22.85546875" customWidth="1"/>
    <col min="7" max="7" width="24.42578125" customWidth="1"/>
    <col min="8" max="8" width="14.5703125" bestFit="1" customWidth="1"/>
    <col min="9" max="9" width="12.7109375" bestFit="1" customWidth="1"/>
    <col min="11" max="11" width="23" bestFit="1" customWidth="1"/>
    <col min="12" max="12" width="20.85546875" bestFit="1" customWidth="1"/>
    <col min="13" max="13" width="21.5703125" bestFit="1" customWidth="1"/>
    <col min="14" max="14" width="19.42578125" bestFit="1" customWidth="1"/>
    <col min="16" max="16" width="10" bestFit="1" customWidth="1"/>
    <col min="18" max="18" width="24" bestFit="1" customWidth="1"/>
    <col min="19" max="19" width="22" bestFit="1" customWidth="1"/>
    <col min="20" max="20" width="22.5703125" bestFit="1" customWidth="1"/>
    <col min="21" max="21" width="20.42578125" bestFit="1" customWidth="1"/>
    <col min="23" max="23" width="12.7109375" bestFit="1" customWidth="1"/>
    <col min="25" max="25" width="22.85546875" bestFit="1" customWidth="1"/>
    <col min="26" max="26" width="20.7109375" bestFit="1" customWidth="1"/>
    <col min="27" max="27" width="22.85546875" bestFit="1" customWidth="1"/>
    <col min="28" max="28" width="19.28515625" bestFit="1" customWidth="1"/>
    <col min="30" max="30" width="8.85546875" bestFit="1" customWidth="1"/>
    <col min="32" max="32" width="24.42578125" bestFit="1" customWidth="1"/>
    <col min="33" max="33" width="22.42578125" bestFit="1" customWidth="1"/>
    <col min="34" max="34" width="23" bestFit="1" customWidth="1"/>
    <col min="35" max="35" width="20.85546875" bestFit="1" customWidth="1"/>
    <col min="37" max="37" width="8.85546875" bestFit="1" customWidth="1"/>
  </cols>
  <sheetData>
    <row r="1" spans="2:42" ht="15.75" thickBot="1" x14ac:dyDescent="0.3"/>
    <row r="2" spans="2:42" ht="19.5" thickBot="1" x14ac:dyDescent="0.35">
      <c r="B2" s="1" t="s">
        <v>0</v>
      </c>
      <c r="E2" s="27" t="s">
        <v>53</v>
      </c>
      <c r="F2" s="38">
        <f>251000+181500+133000</f>
        <v>565500</v>
      </c>
    </row>
    <row r="3" spans="2:42" ht="45.75" thickBot="1" x14ac:dyDescent="0.3">
      <c r="B3" s="27" t="s">
        <v>2</v>
      </c>
      <c r="C3" s="27"/>
      <c r="D3" s="27"/>
      <c r="E3" s="27"/>
      <c r="F3" s="27"/>
      <c r="G3" s="27"/>
      <c r="H3" s="37" t="s">
        <v>63</v>
      </c>
      <c r="I3" s="43">
        <v>3.5</v>
      </c>
      <c r="J3" s="27"/>
      <c r="K3" s="29" t="s">
        <v>58</v>
      </c>
    </row>
    <row r="4" spans="2:42" x14ac:dyDescent="0.25">
      <c r="B4" s="27"/>
      <c r="C4" s="27"/>
      <c r="D4" s="27"/>
      <c r="E4" s="27"/>
      <c r="F4" s="27"/>
      <c r="G4" s="27"/>
      <c r="H4" s="27"/>
      <c r="I4" s="27"/>
      <c r="J4" s="27"/>
      <c r="K4" s="29" t="s">
        <v>15</v>
      </c>
      <c r="R4" s="33" t="s">
        <v>16</v>
      </c>
      <c r="Y4" s="33" t="s">
        <v>69</v>
      </c>
      <c r="AF4" s="33" t="s">
        <v>17</v>
      </c>
      <c r="AO4" s="3"/>
      <c r="AP4" s="3"/>
    </row>
    <row r="5" spans="2:42" ht="15.75" thickBot="1" x14ac:dyDescent="0.3">
      <c r="B5" s="86" t="s">
        <v>3</v>
      </c>
      <c r="C5" s="86" t="s">
        <v>93</v>
      </c>
      <c r="D5" s="86" t="s">
        <v>59</v>
      </c>
      <c r="E5" s="86" t="s">
        <v>32</v>
      </c>
      <c r="F5" s="86" t="s">
        <v>60</v>
      </c>
      <c r="G5" s="86" t="s">
        <v>4</v>
      </c>
      <c r="H5" s="44" t="s">
        <v>5</v>
      </c>
      <c r="I5" s="26" t="s">
        <v>6</v>
      </c>
      <c r="J5" s="27"/>
      <c r="K5" s="25" t="s">
        <v>40</v>
      </c>
      <c r="L5" s="25" t="s">
        <v>37</v>
      </c>
      <c r="M5" s="25" t="s">
        <v>39</v>
      </c>
      <c r="N5" s="25" t="s">
        <v>38</v>
      </c>
      <c r="O5" s="27"/>
      <c r="P5" s="25" t="s">
        <v>18</v>
      </c>
      <c r="Q5" s="28"/>
      <c r="R5" s="25" t="s">
        <v>41</v>
      </c>
      <c r="S5" s="25" t="s">
        <v>42</v>
      </c>
      <c r="T5" s="25" t="s">
        <v>43</v>
      </c>
      <c r="U5" s="25" t="s">
        <v>44</v>
      </c>
      <c r="V5" s="27"/>
      <c r="W5" s="25" t="s">
        <v>18</v>
      </c>
      <c r="X5" s="28"/>
      <c r="Y5" s="25" t="s">
        <v>70</v>
      </c>
      <c r="Z5" s="25" t="s">
        <v>71</v>
      </c>
      <c r="AA5" s="25" t="s">
        <v>72</v>
      </c>
      <c r="AB5" s="25" t="s">
        <v>73</v>
      </c>
      <c r="AC5" s="27"/>
      <c r="AD5" s="25" t="s">
        <v>18</v>
      </c>
      <c r="AE5" s="28"/>
      <c r="AF5" s="25" t="s">
        <v>45</v>
      </c>
      <c r="AG5" s="25" t="s">
        <v>46</v>
      </c>
      <c r="AH5" s="25" t="s">
        <v>47</v>
      </c>
      <c r="AI5" s="25" t="s">
        <v>48</v>
      </c>
      <c r="AJ5" s="27"/>
      <c r="AK5" s="25" t="s">
        <v>18</v>
      </c>
      <c r="AO5" s="3"/>
      <c r="AP5" s="3"/>
    </row>
    <row r="6" spans="2:42" ht="15.75" thickTop="1" x14ac:dyDescent="0.25">
      <c r="B6" s="2" t="s">
        <v>7</v>
      </c>
      <c r="C6" t="s">
        <v>8</v>
      </c>
      <c r="D6" s="5">
        <v>4.4000000000000004</v>
      </c>
      <c r="E6" s="5" t="s">
        <v>33</v>
      </c>
      <c r="F6" t="s">
        <v>13</v>
      </c>
      <c r="G6" s="20">
        <v>4398</v>
      </c>
      <c r="H6" s="4">
        <v>29</v>
      </c>
      <c r="I6" s="36">
        <f>H6+$I$3</f>
        <v>32.5</v>
      </c>
      <c r="K6" s="22">
        <f>VLOOKUP(ROUND(H6,0),'Emission Curves'!A:G,4,FALSE)</f>
        <v>5.9753218441522282</v>
      </c>
      <c r="L6" s="32">
        <f>(D6*G6*K6)</f>
        <v>115629.6480705586</v>
      </c>
      <c r="M6" s="22">
        <f>VLOOKUP(ROUND(I6,0),'Emission Curves'!A:G,4,FALSE)</f>
        <v>5.6070568299585677</v>
      </c>
      <c r="N6" s="32">
        <f>(D6*G6*M6)</f>
        <v>108503.27812789424</v>
      </c>
      <c r="P6" s="31">
        <f>L6-N6</f>
        <v>7126.3699426643579</v>
      </c>
      <c r="Q6" s="4"/>
      <c r="R6" s="22">
        <f>VLOOKUP(ROUND(H6,0),'Emission Curves'!A:G,5,FALSE)</f>
        <v>508.6282946994026</v>
      </c>
      <c r="S6" s="32">
        <f>(D6*G6*R6)</f>
        <v>9842567.8563870806</v>
      </c>
      <c r="T6" s="22">
        <f>VLOOKUP(ROUND(I6,0),'Emission Curves'!A:G,5,FALSE)</f>
        <v>477.15614512229115</v>
      </c>
      <c r="U6" s="32">
        <f>(D6*G6*T6)</f>
        <v>9233543.9954904802</v>
      </c>
      <c r="W6" s="31">
        <f>S6-U6</f>
        <v>609023.86089660041</v>
      </c>
      <c r="X6" s="4"/>
      <c r="Y6" s="23">
        <f>VLOOKUP(ROUND(H6,0),'Emission Curves'!A:G,6,FALSE)</f>
        <v>0.22751767528036176</v>
      </c>
      <c r="Z6" s="32">
        <f>(D6*G6*Y6)</f>
        <v>4402.7400378853372</v>
      </c>
      <c r="AA6" s="23">
        <f>VLOOKUP(ROUND(I6,0),'Emission Curves'!A:G,6,FALSE)</f>
        <v>0.20790421346371765</v>
      </c>
      <c r="AB6" s="32">
        <f>(D6*G6*AA6)</f>
        <v>4023.196015579093</v>
      </c>
      <c r="AD6" s="31">
        <f>Z6-AB6</f>
        <v>379.54402230624419</v>
      </c>
      <c r="AE6" s="4"/>
      <c r="AF6" s="23">
        <f>VLOOKUP(ROUND(H6,0),'Emission Curves'!A:G,7,FALSE)</f>
        <v>0.59934785378482391</v>
      </c>
      <c r="AG6" s="32">
        <f>(D6*G6*AF6)</f>
        <v>11598.100188160884</v>
      </c>
      <c r="AH6" s="23">
        <f>VLOOKUP(ROUND(I6,0),'Emission Curves'!A:G,7,FALSE)</f>
        <v>0.56950033255762134</v>
      </c>
      <c r="AI6" s="32">
        <f>(D6*G6*AH6)</f>
        <v>11020.514835389042</v>
      </c>
      <c r="AK6" s="31">
        <f>AG6-AI6</f>
        <v>577.58535277184274</v>
      </c>
      <c r="AO6" s="21"/>
      <c r="AP6" s="21"/>
    </row>
    <row r="7" spans="2:42" x14ac:dyDescent="0.25">
      <c r="F7" t="s">
        <v>12</v>
      </c>
      <c r="G7" s="20">
        <v>8021</v>
      </c>
      <c r="H7" s="4">
        <v>26</v>
      </c>
      <c r="I7" s="36">
        <f t="shared" ref="I7:I9" si="0">H7+$I$3</f>
        <v>29.5</v>
      </c>
      <c r="K7" s="22">
        <f>VLOOKUP(ROUND(H7,0),'Emission Curves'!A:G,4,FALSE)</f>
        <v>6.2065931037906834</v>
      </c>
      <c r="L7" s="32">
        <f>(D6*G7*K7)</f>
        <v>219045.56645622232</v>
      </c>
      <c r="M7" s="22">
        <f>VLOOKUP(ROUND(I7,0),'Emission Curves'!A:G,4,FALSE)</f>
        <v>5.8982314242727432</v>
      </c>
      <c r="N7" s="32">
        <f>(D6*G7*M7)</f>
        <v>208162.74271800337</v>
      </c>
      <c r="P7" s="31">
        <f t="shared" ref="P7:P9" si="1">L7-N7</f>
        <v>10882.823738218955</v>
      </c>
      <c r="Q7" s="4"/>
      <c r="R7" s="22">
        <f>VLOOKUP(ROUND(H7,0),'Emission Curves'!A:G,5,FALSE)</f>
        <v>542.91493760475748</v>
      </c>
      <c r="S7" s="32">
        <f>(D6*G7*R7)</f>
        <v>19160771.143922143</v>
      </c>
      <c r="T7" s="22">
        <f>VLOOKUP(ROUND(I7,0),'Emission Curves'!A:G,5,FALSE)</f>
        <v>497.19941373095094</v>
      </c>
      <c r="U7" s="32">
        <f>(D6*G7*T7)</f>
        <v>17547360.589158215</v>
      </c>
      <c r="W7" s="31">
        <f t="shared" ref="W7:W9" si="2">S7-U7</f>
        <v>1613410.5547639281</v>
      </c>
      <c r="X7" s="4"/>
      <c r="Y7" s="23">
        <f>VLOOKUP(ROUND(H7,0),'Emission Curves'!A:G,6,FALSE)</f>
        <v>0.246433568744545</v>
      </c>
      <c r="Z7" s="32">
        <f>(D6*G7*Y7)</f>
        <v>8697.2320815599796</v>
      </c>
      <c r="AA7" s="23">
        <f>VLOOKUP(ROUND(I7,0),'Emission Curves'!A:G,6,FALSE)</f>
        <v>0.22121237745896735</v>
      </c>
      <c r="AB7" s="32">
        <f>(D6*G7*AA7)</f>
        <v>7807.1157102328598</v>
      </c>
      <c r="AD7" s="31">
        <f t="shared" ref="AD7:AD9" si="3">Z7-AB7</f>
        <v>890.11637132711985</v>
      </c>
      <c r="AE7" s="4"/>
      <c r="AF7" s="23">
        <f>VLOOKUP(ROUND(H7,0),'Emission Curves'!A:G,7,FALSE)</f>
        <v>0.63115285818869671</v>
      </c>
      <c r="AG7" s="32">
        <f>(D6*G7*AF7)</f>
        <v>22274.89913233876</v>
      </c>
      <c r="AH7" s="23">
        <f>VLOOKUP(ROUND(I7,0),'Emission Curves'!A:G,7,FALSE)</f>
        <v>0.58874618565019965</v>
      </c>
      <c r="AI7" s="32">
        <f>(D6*G7*AH7)</f>
        <v>20778.265882441108</v>
      </c>
      <c r="AK7" s="31">
        <f t="shared" ref="AK7:AK9" si="4">AG7-AI7</f>
        <v>1496.6332498976517</v>
      </c>
      <c r="AO7" s="21"/>
      <c r="AP7" s="21"/>
    </row>
    <row r="8" spans="2:42" x14ac:dyDescent="0.25">
      <c r="E8" t="s">
        <v>34</v>
      </c>
      <c r="F8" t="s">
        <v>13</v>
      </c>
      <c r="G8" s="20">
        <v>8020</v>
      </c>
      <c r="H8" s="4">
        <v>25</v>
      </c>
      <c r="I8" s="36">
        <f t="shared" si="0"/>
        <v>28.5</v>
      </c>
      <c r="K8" s="22">
        <f>VLOOKUP(ROUND(H8,0),'Emission Curves'!A:G,4,FALSE)</f>
        <v>6.2836835236701676</v>
      </c>
      <c r="L8" s="32">
        <f>(D6*G8*K8)</f>
        <v>221738.62418327288</v>
      </c>
      <c r="M8" s="22">
        <f>VLOOKUP(ROUND(I8,0),'Emission Curves'!A:G,4,FALSE)</f>
        <v>5.9753218441522282</v>
      </c>
      <c r="N8" s="32">
        <f>(D6*G8*M8)</f>
        <v>210857.15723644383</v>
      </c>
      <c r="P8" s="31">
        <f t="shared" si="1"/>
        <v>10881.466946829052</v>
      </c>
      <c r="Q8" s="4"/>
      <c r="R8" s="22">
        <f>VLOOKUP(ROUND(H8,0),'Emission Curves'!A:G,5,FALSE)</f>
        <v>554.34381857320921</v>
      </c>
      <c r="S8" s="32">
        <f>(D6*G8*R8)</f>
        <v>19561684.669811405</v>
      </c>
      <c r="T8" s="22">
        <f>VLOOKUP(ROUND(I8,0),'Emission Curves'!A:G,5,FALSE)</f>
        <v>508.6282946994026</v>
      </c>
      <c r="U8" s="32">
        <f>(D6*G8*T8)</f>
        <v>17948475.263352521</v>
      </c>
      <c r="W8" s="31">
        <f t="shared" si="2"/>
        <v>1613209.4064588845</v>
      </c>
      <c r="X8" s="4"/>
      <c r="Y8" s="23">
        <f>VLOOKUP(ROUND(H8,0),'Emission Curves'!A:G,6,FALSE)</f>
        <v>0.25273886656593936</v>
      </c>
      <c r="Z8" s="32">
        <f>(D6*G8*Y8)</f>
        <v>8918.6491233788674</v>
      </c>
      <c r="AA8" s="23">
        <f>VLOOKUP(ROUND(I8,0),'Emission Curves'!A:G,6,FALSE)</f>
        <v>0.22751767528036176</v>
      </c>
      <c r="AB8" s="32">
        <f>(D6*G8*AA8)</f>
        <v>8028.6437252934056</v>
      </c>
      <c r="AD8" s="31">
        <f t="shared" si="3"/>
        <v>890.00539808546182</v>
      </c>
      <c r="AE8" s="4"/>
      <c r="AF8" s="23">
        <f>VLOOKUP(ROUND(H8,0),'Emission Curves'!A:G,7,FALSE)</f>
        <v>0.64175452632332108</v>
      </c>
      <c r="AG8" s="32">
        <f>(D6*G8*AF8)</f>
        <v>22646.233724897353</v>
      </c>
      <c r="AH8" s="23">
        <f>VLOOKUP(ROUND(I8,0),'Emission Curves'!A:G,7,FALSE)</f>
        <v>0.59934785378482391</v>
      </c>
      <c r="AI8" s="32">
        <f>(D6*G8*AH8)</f>
        <v>21149.787064358865</v>
      </c>
      <c r="AK8" s="31">
        <f t="shared" si="4"/>
        <v>1496.4466605384878</v>
      </c>
      <c r="AO8" s="21"/>
      <c r="AP8" s="21"/>
    </row>
    <row r="9" spans="2:42" x14ac:dyDescent="0.25">
      <c r="F9" t="s">
        <v>12</v>
      </c>
      <c r="G9" s="20">
        <v>11633</v>
      </c>
      <c r="H9" s="4">
        <v>29</v>
      </c>
      <c r="I9" s="36">
        <f t="shared" si="0"/>
        <v>32.5</v>
      </c>
      <c r="K9" s="22">
        <f>VLOOKUP(ROUND(H9,0),'Emission Curves'!A:G,4,FALSE)</f>
        <v>5.9753218441522282</v>
      </c>
      <c r="L9" s="32">
        <f>(D6*G9*K9)</f>
        <v>305848.04365730064</v>
      </c>
      <c r="M9" s="22">
        <f>VLOOKUP(ROUND(I9,0),'Emission Curves'!A:G,4,FALSE)</f>
        <v>5.6070568299585677</v>
      </c>
      <c r="N9" s="32">
        <f>(D6*G9*M9)</f>
        <v>286998.3252527953</v>
      </c>
      <c r="P9" s="31">
        <f t="shared" si="1"/>
        <v>18849.718404505344</v>
      </c>
      <c r="Q9" s="4"/>
      <c r="R9" s="22">
        <f>VLOOKUP(ROUND(H9,0),'Emission Curves'!A:G,5,FALSE)</f>
        <v>508.6282946994026</v>
      </c>
      <c r="S9" s="32">
        <f>(D6*G9*R9)</f>
        <v>26034240.989847865</v>
      </c>
      <c r="T9" s="22">
        <f>VLOOKUP(ROUND(I9,0),'Emission Curves'!A:G,5,FALSE)</f>
        <v>477.15614512229115</v>
      </c>
      <c r="U9" s="32">
        <f>(D6*G9*T9)</f>
        <v>24423332.719313499</v>
      </c>
      <c r="W9" s="31">
        <f t="shared" si="2"/>
        <v>1610908.2705343664</v>
      </c>
      <c r="X9" s="4"/>
      <c r="Y9" s="23">
        <f>VLOOKUP(ROUND(H9,0),'Emission Curves'!A:G,6,FALSE)</f>
        <v>0.22751767528036176</v>
      </c>
      <c r="Z9" s="32">
        <f>(D6*G9*Y9)</f>
        <v>11645.537712760373</v>
      </c>
      <c r="AA9" s="23">
        <f>VLOOKUP(ROUND(I9,0),'Emission Curves'!A:G,6,FALSE)</f>
        <v>0.20790421346371765</v>
      </c>
      <c r="AB9" s="32">
        <f>(D6*G9*AA9)</f>
        <v>10641.618746983082</v>
      </c>
      <c r="AD9" s="31">
        <f t="shared" si="3"/>
        <v>1003.9189657772913</v>
      </c>
      <c r="AE9" s="4"/>
      <c r="AF9" s="23">
        <f>VLOOKUP(ROUND(H9,0),'Emission Curves'!A:G,7,FALSE)</f>
        <v>0.59934785378482391</v>
      </c>
      <c r="AG9" s="32">
        <f>(D6*G9*AF9)</f>
        <v>30677.739765546972</v>
      </c>
      <c r="AH9" s="23">
        <f>VLOOKUP(ROUND(I9,0),'Emission Curves'!A:G,7,FALSE)</f>
        <v>0.56950033255762134</v>
      </c>
      <c r="AI9" s="32">
        <f>(D6*G9*AH9)</f>
        <v>29149.988422028364</v>
      </c>
      <c r="AK9" s="31">
        <f t="shared" si="4"/>
        <v>1527.7513435186083</v>
      </c>
      <c r="AO9" s="21"/>
      <c r="AP9" s="21"/>
    </row>
    <row r="10" spans="2:42" ht="15.75" thickBot="1" x14ac:dyDescent="0.3">
      <c r="K10" s="22"/>
      <c r="L10" s="32"/>
      <c r="M10" s="22"/>
      <c r="N10" s="32"/>
      <c r="P10" s="31"/>
      <c r="Q10" s="4"/>
      <c r="R10" s="22"/>
      <c r="S10" s="32"/>
      <c r="T10" s="22"/>
      <c r="U10" s="32"/>
      <c r="W10" s="31"/>
      <c r="X10" s="4"/>
      <c r="Y10" s="23"/>
      <c r="Z10" s="32"/>
      <c r="AA10" s="23"/>
      <c r="AB10" s="32"/>
      <c r="AD10" s="31"/>
      <c r="AE10" s="4"/>
      <c r="AF10" s="23"/>
      <c r="AG10" s="32"/>
      <c r="AH10" s="23"/>
      <c r="AI10" s="32"/>
      <c r="AK10" s="31"/>
      <c r="AO10" s="3"/>
      <c r="AP10" s="3"/>
    </row>
    <row r="11" spans="2:42" ht="21.75" thickBot="1" x14ac:dyDescent="0.4">
      <c r="B11" s="45"/>
      <c r="C11" s="45"/>
      <c r="D11" s="45"/>
      <c r="E11" s="106" t="s">
        <v>77</v>
      </c>
      <c r="F11" s="106"/>
      <c r="G11" s="106"/>
      <c r="H11" s="45"/>
      <c r="I11" s="45"/>
      <c r="J11" s="45"/>
      <c r="K11" s="71"/>
      <c r="L11" s="72"/>
      <c r="M11" s="71"/>
      <c r="N11" s="72"/>
      <c r="O11" s="45"/>
      <c r="P11" s="73"/>
      <c r="Q11" s="74"/>
      <c r="R11" s="71"/>
      <c r="S11" s="72"/>
      <c r="T11" s="71"/>
      <c r="U11" s="72"/>
      <c r="V11" s="45"/>
      <c r="W11" s="73"/>
      <c r="X11" s="74"/>
      <c r="Y11" s="75"/>
      <c r="Z11" s="72"/>
      <c r="AA11" s="75"/>
      <c r="AB11" s="72"/>
      <c r="AC11" s="45"/>
      <c r="AD11" s="73"/>
      <c r="AE11" s="74"/>
      <c r="AF11" s="75"/>
      <c r="AG11" s="72"/>
      <c r="AH11" s="75"/>
      <c r="AI11" s="72"/>
      <c r="AJ11" s="45"/>
      <c r="AK11" s="73"/>
      <c r="AO11" s="3"/>
      <c r="AP11" s="3"/>
    </row>
    <row r="12" spans="2:42" ht="32.25" thickBot="1" x14ac:dyDescent="0.4">
      <c r="B12" s="79" t="s">
        <v>61</v>
      </c>
      <c r="C12" s="39">
        <v>250</v>
      </c>
      <c r="D12" s="3"/>
      <c r="E12" s="76"/>
      <c r="F12" s="76"/>
      <c r="G12" s="76"/>
      <c r="H12" s="3"/>
      <c r="I12" s="3"/>
      <c r="J12" s="3"/>
      <c r="K12" s="77"/>
      <c r="L12" s="34"/>
      <c r="M12" s="77"/>
      <c r="N12" s="34"/>
      <c r="O12" s="3"/>
      <c r="P12" s="40"/>
      <c r="Q12" s="56"/>
      <c r="R12" s="77"/>
      <c r="S12" s="34"/>
      <c r="T12" s="77"/>
      <c r="U12" s="34"/>
      <c r="V12" s="3"/>
      <c r="W12" s="40"/>
      <c r="X12" s="56"/>
      <c r="Y12" s="78"/>
      <c r="Z12" s="34"/>
      <c r="AA12" s="78"/>
      <c r="AB12" s="34"/>
      <c r="AC12" s="3"/>
      <c r="AD12" s="40"/>
      <c r="AE12" s="56"/>
      <c r="AF12" s="78"/>
      <c r="AG12" s="34"/>
      <c r="AH12" s="78"/>
      <c r="AI12" s="34"/>
      <c r="AJ12" s="3"/>
      <c r="AK12" s="40"/>
      <c r="AO12" s="3"/>
      <c r="AP12" s="3"/>
    </row>
    <row r="13" spans="2:42" ht="30.75" thickBot="1" x14ac:dyDescent="0.3">
      <c r="B13" s="37" t="s">
        <v>62</v>
      </c>
      <c r="C13" s="39">
        <v>20</v>
      </c>
      <c r="I13" s="107" t="s">
        <v>79</v>
      </c>
      <c r="J13" s="108"/>
      <c r="K13" s="108"/>
      <c r="L13" s="108"/>
      <c r="M13" s="108"/>
      <c r="N13" s="109"/>
      <c r="P13" s="31"/>
      <c r="Q13" s="4"/>
      <c r="R13" s="22"/>
      <c r="S13" s="32"/>
      <c r="T13" s="22"/>
      <c r="U13" s="32"/>
      <c r="W13" s="31"/>
      <c r="X13" s="4"/>
      <c r="Y13" s="23"/>
      <c r="Z13" s="32"/>
      <c r="AA13" s="23"/>
      <c r="AB13" s="32"/>
      <c r="AD13" s="31"/>
      <c r="AE13" s="4"/>
      <c r="AF13" s="23"/>
      <c r="AG13" s="32"/>
      <c r="AH13" s="23"/>
      <c r="AI13" s="32"/>
      <c r="AK13" s="31"/>
      <c r="AO13" s="3"/>
      <c r="AP13" s="3"/>
    </row>
    <row r="14" spans="2:42" ht="15.75" thickBot="1" x14ac:dyDescent="0.3">
      <c r="I14" s="46"/>
      <c r="J14" s="3"/>
      <c r="K14" s="77"/>
      <c r="L14" s="34"/>
      <c r="M14" s="77"/>
      <c r="N14" s="80"/>
      <c r="P14" s="31"/>
      <c r="Q14" s="4"/>
      <c r="R14" s="22"/>
      <c r="S14" s="32"/>
      <c r="T14" s="22"/>
      <c r="U14" s="32"/>
      <c r="W14" s="31"/>
      <c r="X14" s="4"/>
      <c r="Y14" s="23"/>
      <c r="Z14" s="32"/>
      <c r="AA14" s="23"/>
      <c r="AB14" s="32"/>
      <c r="AD14" s="31"/>
      <c r="AE14" s="4"/>
      <c r="AF14" s="23"/>
      <c r="AG14" s="32"/>
      <c r="AH14" s="23"/>
      <c r="AI14" s="32"/>
      <c r="AK14" s="31"/>
      <c r="AO14" s="3"/>
      <c r="AP14" s="3"/>
    </row>
    <row r="15" spans="2:42" ht="30.75" thickBot="1" x14ac:dyDescent="0.3">
      <c r="B15" s="37" t="s">
        <v>67</v>
      </c>
      <c r="C15" s="64">
        <v>2.20462E-3</v>
      </c>
      <c r="I15" s="46"/>
      <c r="J15" s="84"/>
      <c r="K15" s="110" t="s">
        <v>80</v>
      </c>
      <c r="L15" s="110"/>
      <c r="M15" s="110"/>
      <c r="N15" s="80"/>
      <c r="P15" s="31"/>
      <c r="Q15" s="4"/>
      <c r="R15" s="22"/>
      <c r="S15" s="32"/>
      <c r="T15" s="22"/>
      <c r="U15" s="32"/>
      <c r="W15" s="31"/>
      <c r="X15" s="4"/>
      <c r="Y15" s="23"/>
      <c r="Z15" s="32"/>
      <c r="AA15" s="23"/>
      <c r="AB15" s="32"/>
      <c r="AD15" s="31"/>
      <c r="AE15" s="4"/>
      <c r="AF15" s="23"/>
      <c r="AG15" s="32"/>
      <c r="AH15" s="23"/>
      <c r="AI15" s="32"/>
      <c r="AK15" s="31"/>
      <c r="AO15" s="3"/>
      <c r="AP15" s="3"/>
    </row>
    <row r="16" spans="2:42" ht="30.75" thickBot="1" x14ac:dyDescent="0.3">
      <c r="B16" s="37" t="s">
        <v>68</v>
      </c>
      <c r="C16" s="64">
        <v>5.0000000000000001E-4</v>
      </c>
      <c r="I16" s="46"/>
      <c r="J16" s="85"/>
      <c r="K16" s="111" t="s">
        <v>81</v>
      </c>
      <c r="L16" s="111"/>
      <c r="M16" s="111"/>
      <c r="N16" s="80"/>
      <c r="P16" s="31"/>
      <c r="Q16" s="4"/>
      <c r="R16" s="22"/>
      <c r="S16" s="32"/>
      <c r="T16" s="22"/>
      <c r="U16" s="32"/>
      <c r="W16" s="31"/>
      <c r="X16" s="4"/>
      <c r="Y16" s="23"/>
      <c r="Z16" s="32"/>
      <c r="AA16" s="23"/>
      <c r="AB16" s="32"/>
      <c r="AD16" s="31"/>
      <c r="AE16" s="4"/>
      <c r="AF16" s="23"/>
      <c r="AG16" s="32"/>
      <c r="AH16" s="23"/>
      <c r="AI16" s="32"/>
      <c r="AK16" s="31"/>
      <c r="AO16" s="3"/>
      <c r="AP16" s="3"/>
    </row>
    <row r="17" spans="2:42" ht="15.75" thickBot="1" x14ac:dyDescent="0.3">
      <c r="B17" s="37"/>
      <c r="I17" s="46"/>
      <c r="J17" s="3"/>
      <c r="K17" s="77"/>
      <c r="L17" s="34"/>
      <c r="M17" s="77"/>
      <c r="N17" s="80"/>
      <c r="P17" s="31"/>
      <c r="Q17" s="4"/>
      <c r="R17" s="22"/>
      <c r="S17" s="32"/>
      <c r="T17" s="22"/>
      <c r="U17" s="32"/>
      <c r="W17" s="31"/>
      <c r="X17" s="4"/>
      <c r="Y17" s="23"/>
      <c r="Z17" s="32"/>
      <c r="AA17" s="23"/>
      <c r="AB17" s="32"/>
      <c r="AD17" s="31"/>
      <c r="AE17" s="4"/>
      <c r="AF17" s="23"/>
      <c r="AG17" s="32"/>
      <c r="AH17" s="23"/>
      <c r="AI17" s="32"/>
      <c r="AK17" s="31"/>
      <c r="AO17" s="3"/>
      <c r="AP17" s="3"/>
    </row>
    <row r="18" spans="2:42" ht="15.75" customHeight="1" thickBot="1" x14ac:dyDescent="0.3">
      <c r="B18" s="103" t="s">
        <v>75</v>
      </c>
      <c r="C18" s="104"/>
      <c r="D18" s="104"/>
      <c r="E18" s="104"/>
      <c r="F18" s="104"/>
      <c r="G18" s="105"/>
      <c r="I18" s="46"/>
      <c r="J18" s="97"/>
      <c r="K18" s="99" t="s">
        <v>82</v>
      </c>
      <c r="L18" s="99"/>
      <c r="M18" s="100"/>
      <c r="N18" s="80"/>
      <c r="P18" s="31"/>
      <c r="Q18" s="4"/>
      <c r="R18" s="22"/>
      <c r="S18" s="32"/>
      <c r="T18" s="22"/>
      <c r="U18" s="32"/>
      <c r="W18" s="31"/>
      <c r="X18" s="4"/>
      <c r="Y18" s="23"/>
      <c r="Z18" s="32"/>
      <c r="AA18" s="23"/>
      <c r="AB18" s="32"/>
      <c r="AD18" s="31"/>
      <c r="AE18" s="4"/>
      <c r="AF18" s="23"/>
      <c r="AG18" s="32"/>
      <c r="AH18" s="23"/>
      <c r="AI18" s="32"/>
      <c r="AK18" s="31"/>
      <c r="AO18" s="3"/>
      <c r="AP18" s="3"/>
    </row>
    <row r="19" spans="2:42" x14ac:dyDescent="0.25">
      <c r="B19" s="65" t="s">
        <v>76</v>
      </c>
      <c r="C19" s="66"/>
      <c r="D19" s="66"/>
      <c r="E19" s="66"/>
      <c r="F19" s="66"/>
      <c r="G19" s="67"/>
      <c r="I19" s="46"/>
      <c r="J19" s="97"/>
      <c r="K19" s="101"/>
      <c r="L19" s="101"/>
      <c r="M19" s="102"/>
      <c r="N19" s="80"/>
      <c r="P19" s="31"/>
      <c r="Q19" s="4"/>
      <c r="R19" s="22"/>
      <c r="S19" s="32"/>
      <c r="T19" s="22"/>
      <c r="U19" s="32"/>
      <c r="W19" s="31"/>
      <c r="X19" s="4"/>
      <c r="Y19" s="23"/>
      <c r="Z19" s="32"/>
      <c r="AA19" s="23"/>
      <c r="AB19" s="32"/>
      <c r="AD19" s="31"/>
      <c r="AE19" s="4"/>
      <c r="AF19" s="23"/>
      <c r="AG19" s="32"/>
      <c r="AH19" s="23"/>
      <c r="AI19" s="32"/>
      <c r="AK19" s="31"/>
      <c r="AO19" s="3"/>
      <c r="AP19" s="3"/>
    </row>
    <row r="20" spans="2:42" ht="15.75" thickBot="1" x14ac:dyDescent="0.3">
      <c r="B20" s="68" t="s">
        <v>78</v>
      </c>
      <c r="C20" s="69"/>
      <c r="D20" s="69"/>
      <c r="E20" s="69"/>
      <c r="F20" s="69"/>
      <c r="G20" s="70"/>
      <c r="I20" s="46"/>
      <c r="J20" s="3"/>
      <c r="K20" s="77"/>
      <c r="L20" s="34"/>
      <c r="M20" s="77"/>
      <c r="N20" s="80"/>
      <c r="P20" s="31"/>
      <c r="Q20" s="4"/>
      <c r="R20" s="22"/>
      <c r="S20" s="32"/>
      <c r="T20" s="22"/>
      <c r="U20" s="32"/>
      <c r="W20" s="31"/>
      <c r="X20" s="4"/>
      <c r="Y20" s="23"/>
      <c r="Z20" s="32"/>
      <c r="AA20" s="23"/>
      <c r="AB20" s="32"/>
      <c r="AD20" s="31"/>
      <c r="AE20" s="4"/>
      <c r="AF20" s="23"/>
      <c r="AG20" s="32"/>
      <c r="AH20" s="23"/>
      <c r="AI20" s="32"/>
      <c r="AK20" s="31"/>
      <c r="AO20" s="3"/>
      <c r="AP20" s="3"/>
    </row>
    <row r="21" spans="2:42" x14ac:dyDescent="0.25">
      <c r="B21" s="46"/>
      <c r="C21" s="3"/>
      <c r="D21" s="3"/>
      <c r="E21" s="3"/>
      <c r="F21" s="3"/>
      <c r="G21" s="47"/>
      <c r="I21" s="45"/>
      <c r="J21" s="45"/>
      <c r="K21" s="71"/>
      <c r="L21" s="72"/>
      <c r="M21" s="71"/>
      <c r="N21" s="72"/>
      <c r="P21" s="31"/>
      <c r="Q21" s="4"/>
      <c r="R21" s="22"/>
      <c r="S21" s="32"/>
      <c r="T21" s="22"/>
      <c r="U21" s="32"/>
      <c r="W21" s="31"/>
      <c r="X21" s="4"/>
      <c r="Y21" s="23"/>
      <c r="Z21" s="32"/>
      <c r="AA21" s="23"/>
      <c r="AB21" s="32"/>
      <c r="AD21" s="31"/>
      <c r="AE21" s="4"/>
      <c r="AF21" s="23"/>
      <c r="AG21" s="32"/>
      <c r="AH21" s="23"/>
      <c r="AI21" s="32"/>
      <c r="AK21" s="31"/>
      <c r="AO21" s="3"/>
      <c r="AP21" s="3"/>
    </row>
    <row r="22" spans="2:42" ht="30" x14ac:dyDescent="0.25">
      <c r="B22" s="48" t="s">
        <v>14</v>
      </c>
      <c r="C22" s="25" t="s">
        <v>57</v>
      </c>
      <c r="D22" s="25"/>
      <c r="E22" s="25" t="s">
        <v>52</v>
      </c>
      <c r="F22" s="25" t="s">
        <v>54</v>
      </c>
      <c r="G22" s="49" t="s">
        <v>66</v>
      </c>
      <c r="I22" s="3"/>
      <c r="J22" s="3"/>
      <c r="K22" s="77"/>
      <c r="L22" s="34"/>
      <c r="M22" s="77"/>
      <c r="N22" s="34"/>
      <c r="P22" s="31"/>
      <c r="Q22" s="4"/>
      <c r="R22" s="22"/>
      <c r="S22" s="32"/>
      <c r="T22" s="22"/>
      <c r="U22" s="32"/>
      <c r="W22" s="31"/>
      <c r="X22" s="4"/>
      <c r="Y22" s="23"/>
      <c r="Z22" s="32"/>
      <c r="AA22" s="23"/>
      <c r="AB22" s="32"/>
      <c r="AD22" s="31"/>
      <c r="AE22" s="4"/>
      <c r="AF22" s="23"/>
      <c r="AG22" s="32"/>
      <c r="AH22" s="23"/>
      <c r="AI22" s="32"/>
      <c r="AK22" s="31"/>
      <c r="AO22" s="3"/>
      <c r="AP22" s="3"/>
    </row>
    <row r="23" spans="2:42" x14ac:dyDescent="0.25">
      <c r="B23" s="46" t="s">
        <v>15</v>
      </c>
      <c r="C23" s="34">
        <f>SUM(P6:P9)</f>
        <v>47740.379032217708</v>
      </c>
      <c r="D23" s="3"/>
      <c r="E23" s="34">
        <f>($C$15*C23)*$C$12</f>
        <v>26312.348605501953</v>
      </c>
      <c r="F23" s="50">
        <f>E23*$C$16</f>
        <v>13.156174302750976</v>
      </c>
      <c r="G23" s="51">
        <f>$F$2/F23</f>
        <v>42983.620236906798</v>
      </c>
      <c r="K23" s="22"/>
      <c r="L23" s="32"/>
      <c r="M23" s="22"/>
      <c r="N23" s="32"/>
      <c r="P23" s="31"/>
      <c r="Q23" s="4"/>
      <c r="R23" s="22"/>
      <c r="S23" s="32"/>
      <c r="T23" s="22"/>
      <c r="U23" s="32"/>
      <c r="W23" s="31"/>
      <c r="X23" s="4"/>
      <c r="Y23" s="23"/>
      <c r="Z23" s="32"/>
      <c r="AA23" s="23"/>
      <c r="AB23" s="32"/>
      <c r="AD23" s="31"/>
      <c r="AE23" s="4"/>
      <c r="AF23" s="23"/>
      <c r="AG23" s="32"/>
      <c r="AH23" s="23"/>
      <c r="AI23" s="32"/>
      <c r="AK23" s="31"/>
    </row>
    <row r="24" spans="2:42" x14ac:dyDescent="0.25">
      <c r="B24" s="46" t="s">
        <v>16</v>
      </c>
      <c r="C24" s="34">
        <f>SUM(W6:W9)</f>
        <v>5446552.0926537793</v>
      </c>
      <c r="D24" s="3"/>
      <c r="E24" s="34">
        <f>($C$15*C24)*$C$12</f>
        <v>3001894.4186265939</v>
      </c>
      <c r="F24" s="50">
        <f t="shared" ref="F24:F28" si="5">E24*$C$16</f>
        <v>1500.947209313297</v>
      </c>
      <c r="G24" s="51">
        <f t="shared" ref="G24:G28" si="6">$F$2/F24</f>
        <v>376.76208496281737</v>
      </c>
      <c r="K24" s="22"/>
      <c r="L24" s="32"/>
      <c r="M24" s="22"/>
      <c r="N24" s="32"/>
      <c r="P24" s="31"/>
      <c r="Q24" s="4"/>
      <c r="R24" s="22"/>
      <c r="S24" s="32"/>
      <c r="T24" s="22"/>
      <c r="U24" s="32"/>
      <c r="W24" s="31"/>
      <c r="X24" s="4"/>
      <c r="Y24" s="23"/>
      <c r="Z24" s="32"/>
      <c r="AA24" s="23"/>
      <c r="AB24" s="32"/>
      <c r="AD24" s="31"/>
      <c r="AE24" s="4"/>
      <c r="AF24" s="23"/>
      <c r="AG24" s="32"/>
      <c r="AH24" s="23"/>
      <c r="AI24" s="32"/>
      <c r="AK24" s="31"/>
    </row>
    <row r="25" spans="2:42" x14ac:dyDescent="0.25">
      <c r="B25" s="46" t="s">
        <v>69</v>
      </c>
      <c r="C25" s="34">
        <f>SUM(AD6:AD9)</f>
        <v>3163.5847574961172</v>
      </c>
      <c r="D25" s="3"/>
      <c r="E25" s="34">
        <f>($C$15*C25)*$C$12</f>
        <v>1743.6255570177725</v>
      </c>
      <c r="F25" s="50">
        <f t="shared" si="5"/>
        <v>0.87181277850888628</v>
      </c>
      <c r="G25" s="51">
        <f t="shared" si="6"/>
        <v>648648.44143166672</v>
      </c>
      <c r="K25" s="22"/>
      <c r="L25" s="32"/>
      <c r="M25" s="22"/>
      <c r="N25" s="32"/>
      <c r="P25" s="31"/>
      <c r="Q25" s="4"/>
      <c r="R25" s="22"/>
      <c r="S25" s="32"/>
      <c r="T25" s="22"/>
      <c r="U25" s="32"/>
      <c r="W25" s="31"/>
      <c r="X25" s="4"/>
      <c r="Y25" s="23"/>
      <c r="Z25" s="32"/>
      <c r="AA25" s="23"/>
      <c r="AB25" s="32"/>
      <c r="AD25" s="31"/>
      <c r="AE25" s="4"/>
      <c r="AF25" s="23"/>
      <c r="AG25" s="32"/>
      <c r="AH25" s="23"/>
      <c r="AI25" s="32"/>
      <c r="AK25" s="31"/>
    </row>
    <row r="26" spans="2:42" x14ac:dyDescent="0.25">
      <c r="B26" s="46" t="s">
        <v>17</v>
      </c>
      <c r="C26" s="34">
        <f>SUM(AK6:AK9)</f>
        <v>5098.4166067265905</v>
      </c>
      <c r="D26" s="3"/>
      <c r="E26" s="34">
        <f>($C$15*C26)*$C$12</f>
        <v>2810.0178048803941</v>
      </c>
      <c r="F26" s="50">
        <f t="shared" si="5"/>
        <v>1.405008902440197</v>
      </c>
      <c r="G26" s="51">
        <f t="shared" si="6"/>
        <v>402488.55293219042</v>
      </c>
      <c r="K26" s="98"/>
      <c r="L26" s="98"/>
      <c r="M26" s="98"/>
      <c r="N26" s="98"/>
      <c r="P26" s="31"/>
      <c r="Q26" s="4"/>
      <c r="R26" s="22"/>
      <c r="S26" s="32"/>
      <c r="T26" s="22"/>
      <c r="U26" s="32"/>
      <c r="W26" s="31"/>
      <c r="X26" s="4"/>
      <c r="Y26" s="23"/>
      <c r="Z26" s="32"/>
      <c r="AA26" s="23"/>
      <c r="AB26" s="32"/>
      <c r="AD26" s="31"/>
      <c r="AE26" s="4"/>
      <c r="AF26" s="23"/>
      <c r="AG26" s="32"/>
      <c r="AH26" s="23"/>
      <c r="AI26" s="32"/>
      <c r="AK26" s="31"/>
    </row>
    <row r="27" spans="2:42" x14ac:dyDescent="0.25">
      <c r="B27" s="46"/>
      <c r="C27" s="52"/>
      <c r="D27" s="3"/>
      <c r="E27" s="34"/>
      <c r="F27" s="3"/>
      <c r="G27" s="47"/>
      <c r="K27" s="98"/>
      <c r="L27" s="98"/>
      <c r="M27" s="98"/>
      <c r="N27" s="98"/>
      <c r="P27" s="31"/>
      <c r="Q27" s="4"/>
      <c r="R27" s="22"/>
      <c r="S27" s="32"/>
      <c r="T27" s="22"/>
      <c r="U27" s="32"/>
      <c r="W27" s="31"/>
      <c r="X27" s="4"/>
      <c r="Y27" s="23"/>
      <c r="Z27" s="32"/>
      <c r="AA27" s="23"/>
      <c r="AB27" s="32"/>
      <c r="AD27" s="31"/>
      <c r="AE27" s="4"/>
      <c r="AF27" s="23"/>
      <c r="AG27" s="32"/>
      <c r="AH27" s="23"/>
      <c r="AI27" s="32"/>
      <c r="AK27" s="31"/>
    </row>
    <row r="28" spans="2:42" x14ac:dyDescent="0.25">
      <c r="B28" s="53" t="s">
        <v>56</v>
      </c>
      <c r="C28" s="30">
        <f>SUM(C23:C26)</f>
        <v>5502554.4730502199</v>
      </c>
      <c r="D28" s="24"/>
      <c r="E28" s="30">
        <f>($C$15*C28)*$C$12</f>
        <v>3032760.410593994</v>
      </c>
      <c r="F28" s="42">
        <f t="shared" si="5"/>
        <v>1516.380205296997</v>
      </c>
      <c r="G28" s="54">
        <f t="shared" si="6"/>
        <v>372.92757978810573</v>
      </c>
      <c r="K28" s="22"/>
      <c r="L28" s="32"/>
      <c r="M28" s="22"/>
      <c r="N28" s="32"/>
      <c r="P28" s="31"/>
      <c r="Q28" s="4"/>
      <c r="R28" s="22"/>
      <c r="S28" s="32"/>
      <c r="T28" s="22"/>
      <c r="U28" s="32"/>
      <c r="W28" s="31"/>
      <c r="X28" s="4"/>
      <c r="Y28" s="23"/>
      <c r="Z28" s="32"/>
      <c r="AA28" s="23"/>
      <c r="AB28" s="32"/>
      <c r="AD28" s="31"/>
      <c r="AE28" s="4"/>
      <c r="AF28" s="23"/>
      <c r="AG28" s="32"/>
      <c r="AH28" s="23"/>
      <c r="AI28" s="32"/>
      <c r="AK28" s="31"/>
    </row>
    <row r="29" spans="2:42" x14ac:dyDescent="0.25">
      <c r="B29" s="46"/>
      <c r="C29" s="34"/>
      <c r="D29" s="3"/>
      <c r="E29" s="34"/>
      <c r="F29" s="40"/>
      <c r="G29" s="55"/>
      <c r="K29" s="22"/>
      <c r="L29" s="32"/>
      <c r="M29" s="22"/>
      <c r="N29" s="32"/>
      <c r="P29" s="31"/>
      <c r="Q29" s="4"/>
      <c r="R29" s="22"/>
      <c r="S29" s="32"/>
      <c r="T29" s="22"/>
      <c r="U29" s="32"/>
      <c r="W29" s="31"/>
      <c r="X29" s="4"/>
      <c r="Y29" s="23"/>
      <c r="Z29" s="32"/>
      <c r="AA29" s="23"/>
      <c r="AB29" s="32"/>
      <c r="AD29" s="31"/>
      <c r="AE29" s="4"/>
      <c r="AF29" s="23"/>
      <c r="AG29" s="32"/>
      <c r="AH29" s="23"/>
      <c r="AI29" s="32"/>
      <c r="AK29" s="31"/>
    </row>
    <row r="30" spans="2:42" x14ac:dyDescent="0.25">
      <c r="B30" s="46"/>
      <c r="C30" s="34"/>
      <c r="D30" s="3"/>
      <c r="E30" s="34"/>
      <c r="F30" s="40"/>
      <c r="G30" s="55"/>
      <c r="K30" s="22"/>
      <c r="L30" s="32"/>
      <c r="M30" s="22"/>
      <c r="N30" s="32"/>
      <c r="P30" s="31"/>
      <c r="Q30" s="4"/>
      <c r="R30" s="22"/>
      <c r="S30" s="32"/>
      <c r="T30" s="22"/>
      <c r="U30" s="32"/>
      <c r="W30" s="31"/>
      <c r="X30" s="4"/>
      <c r="Y30" s="23"/>
      <c r="Z30" s="32"/>
      <c r="AA30" s="23"/>
      <c r="AB30" s="32"/>
      <c r="AD30" s="31"/>
      <c r="AE30" s="4"/>
      <c r="AF30" s="23"/>
      <c r="AG30" s="32"/>
      <c r="AH30" s="23"/>
      <c r="AI30" s="32"/>
      <c r="AK30" s="31"/>
    </row>
    <row r="31" spans="2:42" ht="45" x14ac:dyDescent="0.25">
      <c r="B31" s="48" t="s">
        <v>14</v>
      </c>
      <c r="C31" s="25"/>
      <c r="D31" s="25"/>
      <c r="E31" s="25"/>
      <c r="F31" s="41" t="s">
        <v>64</v>
      </c>
      <c r="G31" s="49" t="s">
        <v>65</v>
      </c>
      <c r="K31" s="22"/>
      <c r="L31" s="32"/>
      <c r="M31" s="22"/>
      <c r="N31" s="32"/>
      <c r="P31" s="31"/>
      <c r="Q31" s="4"/>
      <c r="R31" s="22"/>
      <c r="S31" s="32"/>
      <c r="T31" s="22"/>
      <c r="U31" s="32"/>
      <c r="W31" s="31"/>
      <c r="X31" s="4"/>
      <c r="Y31" s="23"/>
      <c r="Z31" s="32"/>
      <c r="AA31" s="23"/>
      <c r="AB31" s="32"/>
      <c r="AD31" s="31"/>
      <c r="AE31" s="4"/>
      <c r="AF31" s="23"/>
      <c r="AG31" s="32"/>
      <c r="AH31" s="23"/>
      <c r="AI31" s="32"/>
      <c r="AK31" s="31"/>
    </row>
    <row r="32" spans="2:42" x14ac:dyDescent="0.25">
      <c r="B32" s="46" t="s">
        <v>15</v>
      </c>
      <c r="C32" s="3"/>
      <c r="D32" s="3"/>
      <c r="E32" s="3"/>
      <c r="F32" s="56">
        <f>F23*$C$13</f>
        <v>263.1234860550195</v>
      </c>
      <c r="G32" s="57">
        <f>$F$2/F32</f>
        <v>2149.18101184534</v>
      </c>
    </row>
    <row r="33" spans="2:7" x14ac:dyDescent="0.25">
      <c r="B33" s="46" t="s">
        <v>16</v>
      </c>
      <c r="C33" s="3"/>
      <c r="D33" s="3"/>
      <c r="E33" s="3"/>
      <c r="F33" s="56">
        <f>F24*$C$13</f>
        <v>30018.944186265941</v>
      </c>
      <c r="G33" s="57">
        <f t="shared" ref="G33:G35" si="7">$F$2/F33</f>
        <v>18.838104248140866</v>
      </c>
    </row>
    <row r="34" spans="2:7" x14ac:dyDescent="0.25">
      <c r="B34" s="46" t="s">
        <v>69</v>
      </c>
      <c r="C34" s="3"/>
      <c r="D34" s="3"/>
      <c r="E34" s="3"/>
      <c r="F34" s="56">
        <f>F25*$C$13</f>
        <v>17.436255570177725</v>
      </c>
      <c r="G34" s="57">
        <f t="shared" si="7"/>
        <v>32432.42207158334</v>
      </c>
    </row>
    <row r="35" spans="2:7" x14ac:dyDescent="0.25">
      <c r="B35" s="46" t="s">
        <v>17</v>
      </c>
      <c r="C35" s="3"/>
      <c r="D35" s="3"/>
      <c r="E35" s="3"/>
      <c r="F35" s="56">
        <f>F26*$C$13</f>
        <v>28.10017804880394</v>
      </c>
      <c r="G35" s="57">
        <f t="shared" si="7"/>
        <v>20124.427646609522</v>
      </c>
    </row>
    <row r="36" spans="2:7" ht="15.75" thickBot="1" x14ac:dyDescent="0.3">
      <c r="B36" s="58"/>
      <c r="C36" s="59"/>
      <c r="D36" s="59"/>
      <c r="E36" s="59"/>
      <c r="F36" s="59"/>
      <c r="G36" s="60"/>
    </row>
  </sheetData>
  <mergeCells count="6">
    <mergeCell ref="K18:M19"/>
    <mergeCell ref="B18:G18"/>
    <mergeCell ref="E11:G11"/>
    <mergeCell ref="I13:N13"/>
    <mergeCell ref="K15:M15"/>
    <mergeCell ref="K16:M16"/>
  </mergeCells>
  <pageMargins left="0.7" right="0.7" top="0.75" bottom="0.75" header="0.3" footer="0.3"/>
  <pageSetup orientation="portrait" r:id="rId1"/>
  <customProperties>
    <customPr name="LastActive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G53"/>
  <sheetViews>
    <sheetView zoomScale="90" zoomScaleNormal="90" workbookViewId="0">
      <pane xSplit="7" topLeftCell="H1" activePane="topRight" state="frozen"/>
      <selection pane="topRight" activeCell="G24" sqref="G24"/>
    </sheetView>
  </sheetViews>
  <sheetFormatPr defaultRowHeight="15" x14ac:dyDescent="0.25"/>
  <cols>
    <col min="1" max="1" width="5.42578125" customWidth="1"/>
    <col min="2" max="2" width="18.5703125" customWidth="1"/>
    <col min="3" max="3" width="33.5703125" bestFit="1" customWidth="1"/>
    <col min="4" max="4" width="12.5703125" customWidth="1"/>
    <col min="5" max="5" width="21.28515625" customWidth="1"/>
    <col min="6" max="6" width="23.5703125" bestFit="1" customWidth="1"/>
    <col min="7" max="7" width="24.5703125" customWidth="1"/>
    <col min="8" max="8" width="13.85546875" bestFit="1" customWidth="1"/>
    <col min="9" max="9" width="12" bestFit="1" customWidth="1"/>
    <col min="11" max="11" width="23" bestFit="1" customWidth="1"/>
    <col min="12" max="12" width="20.85546875" bestFit="1" customWidth="1"/>
    <col min="13" max="13" width="19.42578125" bestFit="1" customWidth="1"/>
    <col min="15" max="15" width="10" bestFit="1" customWidth="1"/>
    <col min="17" max="17" width="24" bestFit="1" customWidth="1"/>
    <col min="18" max="18" width="22" bestFit="1" customWidth="1"/>
    <col min="19" max="19" width="20.42578125" bestFit="1" customWidth="1"/>
    <col min="21" max="21" width="8.42578125" bestFit="1" customWidth="1"/>
    <col min="23" max="23" width="24.28515625" bestFit="1" customWidth="1"/>
    <col min="24" max="24" width="22.28515625" bestFit="1" customWidth="1"/>
    <col min="25" max="25" width="20.7109375" bestFit="1" customWidth="1"/>
    <col min="27" max="27" width="8.42578125" bestFit="1" customWidth="1"/>
    <col min="29" max="29" width="24.42578125" bestFit="1" customWidth="1"/>
    <col min="30" max="30" width="22.42578125" bestFit="1" customWidth="1"/>
    <col min="31" max="31" width="20.85546875" bestFit="1" customWidth="1"/>
    <col min="33" max="33" width="8.42578125" bestFit="1" customWidth="1"/>
  </cols>
  <sheetData>
    <row r="1" spans="2:33" ht="15.75" thickBot="1" x14ac:dyDescent="0.3"/>
    <row r="2" spans="2:33" ht="19.5" thickBot="1" x14ac:dyDescent="0.35">
      <c r="B2" s="1" t="s">
        <v>1</v>
      </c>
      <c r="E2" s="27" t="s">
        <v>53</v>
      </c>
      <c r="F2" s="38">
        <v>38000</v>
      </c>
    </row>
    <row r="3" spans="2:33" ht="30" customHeight="1" x14ac:dyDescent="0.25">
      <c r="B3" s="27" t="s">
        <v>2</v>
      </c>
      <c r="D3" s="114" t="s">
        <v>51</v>
      </c>
      <c r="E3" s="114"/>
      <c r="F3" s="114"/>
      <c r="G3" s="114"/>
    </row>
    <row r="5" spans="2:33" ht="45.75" thickBot="1" x14ac:dyDescent="0.3">
      <c r="B5" s="86" t="s">
        <v>3</v>
      </c>
      <c r="C5" s="86" t="s">
        <v>93</v>
      </c>
      <c r="D5" s="86" t="s">
        <v>59</v>
      </c>
      <c r="E5" s="86" t="s">
        <v>32</v>
      </c>
      <c r="F5" s="86" t="s">
        <v>60</v>
      </c>
      <c r="G5" s="86" t="s">
        <v>4</v>
      </c>
      <c r="H5" s="96" t="s">
        <v>91</v>
      </c>
      <c r="I5" s="96" t="s">
        <v>92</v>
      </c>
    </row>
    <row r="6" spans="2:33" ht="15.75" thickTop="1" x14ac:dyDescent="0.25">
      <c r="B6" s="2" t="s">
        <v>9</v>
      </c>
      <c r="C6" t="s">
        <v>10</v>
      </c>
      <c r="K6" s="29" t="s">
        <v>83</v>
      </c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</row>
    <row r="7" spans="2:33" x14ac:dyDescent="0.25">
      <c r="K7" s="29" t="s">
        <v>15</v>
      </c>
      <c r="L7" s="27"/>
      <c r="M7" s="27"/>
      <c r="N7" s="27"/>
      <c r="O7" s="27"/>
      <c r="P7" s="27"/>
      <c r="Q7" s="33" t="s">
        <v>16</v>
      </c>
      <c r="R7" s="27"/>
      <c r="S7" s="27"/>
      <c r="T7" s="27"/>
      <c r="U7" s="27"/>
      <c r="V7" s="27"/>
      <c r="W7" s="33" t="s">
        <v>69</v>
      </c>
      <c r="X7" s="27"/>
      <c r="Y7" s="27"/>
      <c r="Z7" s="27"/>
      <c r="AA7" s="27"/>
      <c r="AB7" s="27"/>
      <c r="AC7" s="33" t="s">
        <v>17</v>
      </c>
      <c r="AD7" s="27"/>
      <c r="AE7" s="27"/>
      <c r="AF7" s="27"/>
      <c r="AG7" s="27"/>
    </row>
    <row r="8" spans="2:33" x14ac:dyDescent="0.25">
      <c r="C8" s="6" t="s">
        <v>11</v>
      </c>
      <c r="K8" s="25" t="s">
        <v>50</v>
      </c>
      <c r="L8" s="25" t="s">
        <v>37</v>
      </c>
      <c r="M8" s="25" t="s">
        <v>38</v>
      </c>
      <c r="N8" s="25"/>
      <c r="O8" s="25" t="s">
        <v>18</v>
      </c>
      <c r="P8" s="28"/>
      <c r="Q8" s="25" t="s">
        <v>41</v>
      </c>
      <c r="R8" s="25" t="s">
        <v>42</v>
      </c>
      <c r="S8" s="25" t="s">
        <v>44</v>
      </c>
      <c r="T8" s="25"/>
      <c r="U8" s="25" t="s">
        <v>18</v>
      </c>
      <c r="V8" s="28"/>
      <c r="W8" s="25" t="s">
        <v>70</v>
      </c>
      <c r="X8" s="25" t="s">
        <v>71</v>
      </c>
      <c r="Y8" s="25" t="s">
        <v>73</v>
      </c>
      <c r="Z8" s="25"/>
      <c r="AA8" s="25" t="s">
        <v>18</v>
      </c>
      <c r="AB8" s="28"/>
      <c r="AC8" s="25" t="s">
        <v>45</v>
      </c>
      <c r="AD8" s="25" t="s">
        <v>46</v>
      </c>
      <c r="AE8" s="25" t="s">
        <v>48</v>
      </c>
      <c r="AF8" s="25"/>
      <c r="AG8" s="25" t="s">
        <v>18</v>
      </c>
    </row>
    <row r="9" spans="2:33" x14ac:dyDescent="0.25">
      <c r="C9" s="3" t="s">
        <v>26</v>
      </c>
      <c r="D9" t="s">
        <v>31</v>
      </c>
      <c r="E9" t="s">
        <v>35</v>
      </c>
      <c r="F9" t="s">
        <v>49</v>
      </c>
      <c r="G9" s="20">
        <v>408</v>
      </c>
      <c r="H9" s="19">
        <v>60</v>
      </c>
      <c r="I9" s="19">
        <v>5</v>
      </c>
      <c r="K9" s="22">
        <f>$C$25</f>
        <v>53.169286770559488</v>
      </c>
      <c r="L9" s="32">
        <f>(G9*(H9/$C$30)*$C$25)</f>
        <v>361.5511500398045</v>
      </c>
      <c r="M9" s="32">
        <f>(G9*(I9/$C$30)*$C$25)</f>
        <v>30.129262503317044</v>
      </c>
      <c r="O9" s="4">
        <f>L9-M9</f>
        <v>331.42188753648747</v>
      </c>
      <c r="P9" s="4"/>
      <c r="Q9" s="22">
        <f>$C$26</f>
        <v>6958.5429202225077</v>
      </c>
      <c r="R9" s="32">
        <f>(G9*(H9/$C$30)*$C$26)</f>
        <v>47318.091857513049</v>
      </c>
      <c r="S9" s="32">
        <f>(G9*(I9/$C$30)*$C$26)</f>
        <v>3943.1743214594208</v>
      </c>
      <c r="U9" s="4">
        <f>R9-S9</f>
        <v>43374.917536053632</v>
      </c>
      <c r="V9" s="4"/>
      <c r="W9" s="22">
        <f>$C$27</f>
        <v>3.8996637302988342</v>
      </c>
      <c r="X9" s="35">
        <f>(G9*(H9/$C$30)*$C$27)</f>
        <v>26.517713366032073</v>
      </c>
      <c r="Y9" s="35">
        <f>(G9*(I9/$C$30)*$C$27)</f>
        <v>2.2098094471693392</v>
      </c>
      <c r="AA9" s="4">
        <f>X9-Y9</f>
        <v>24.307903918862735</v>
      </c>
      <c r="AB9" s="4"/>
      <c r="AC9" s="22">
        <f>$C$28</f>
        <v>5.948170844849451</v>
      </c>
      <c r="AD9" s="31">
        <f>(G9*(H9/$C$30)*$C$28)</f>
        <v>40.447561744976269</v>
      </c>
      <c r="AE9" s="31">
        <f>(G9*(I9/$C$30)*$C$28)</f>
        <v>3.370630145414689</v>
      </c>
      <c r="AG9" s="4">
        <f>AD9-AE9</f>
        <v>37.076931599561583</v>
      </c>
    </row>
    <row r="10" spans="2:33" x14ac:dyDescent="0.25">
      <c r="C10" s="3"/>
      <c r="E10" t="s">
        <v>36</v>
      </c>
      <c r="G10" s="20">
        <v>282</v>
      </c>
      <c r="H10" s="19">
        <v>60</v>
      </c>
      <c r="I10" s="19">
        <v>5</v>
      </c>
      <c r="K10" s="22">
        <f t="shared" ref="K10:K18" si="0">$C$25</f>
        <v>53.169286770559488</v>
      </c>
      <c r="L10" s="32">
        <f t="shared" ref="L10:L18" si="1">(G10*(H10/$C$30)*$C$25)</f>
        <v>249.89564782162961</v>
      </c>
      <c r="M10" s="32">
        <f t="shared" ref="M10:M18" si="2">(G10*(I10/$C$30)*$C$25)</f>
        <v>20.824637318469133</v>
      </c>
      <c r="O10" s="4">
        <f>L10-M10</f>
        <v>229.07101050316047</v>
      </c>
      <c r="P10" s="4"/>
      <c r="Q10" s="22">
        <f t="shared" ref="Q10:Q18" si="3">$C$26</f>
        <v>6958.5429202225077</v>
      </c>
      <c r="R10" s="32">
        <f t="shared" ref="R10:R18" si="4">(G10*(H10/$C$30)*$C$26)</f>
        <v>32705.151725045787</v>
      </c>
      <c r="S10" s="32">
        <f t="shared" ref="S10:S18" si="5">(G10*(I10/$C$30)*$C$26)</f>
        <v>2725.4293104204821</v>
      </c>
      <c r="U10" s="4">
        <f>R10-S10</f>
        <v>29979.722414625307</v>
      </c>
      <c r="V10" s="4"/>
      <c r="W10" s="22">
        <f t="shared" ref="W10:W18" si="6">$C$27</f>
        <v>3.8996637302988342</v>
      </c>
      <c r="X10" s="35">
        <f t="shared" ref="X10:X18" si="7">(G10*(H10/$C$30)*$C$27)</f>
        <v>18.328419532404521</v>
      </c>
      <c r="Y10" s="35">
        <f t="shared" ref="Y10:Y18" si="8">(G10*(I10/$C$30)*$C$27)</f>
        <v>1.5273682943670435</v>
      </c>
      <c r="AA10" s="4">
        <f>X10-Y10</f>
        <v>16.801051238037477</v>
      </c>
      <c r="AB10" s="4"/>
      <c r="AC10" s="22">
        <f t="shared" ref="AC10:AC18" si="9">$C$28</f>
        <v>5.948170844849451</v>
      </c>
      <c r="AD10" s="31">
        <f t="shared" ref="AD10:AD18" si="10">(G10*(H10/$C$30)*$C$28)</f>
        <v>27.956402970792421</v>
      </c>
      <c r="AE10" s="31">
        <f t="shared" ref="AE10:AE18" si="11">(G10*(I10/$C$30)*$C$28)</f>
        <v>2.3297002475660351</v>
      </c>
      <c r="AG10" s="4">
        <f>AD10-AE10</f>
        <v>25.626702723226387</v>
      </c>
    </row>
    <row r="11" spans="2:33" x14ac:dyDescent="0.25">
      <c r="C11" s="3" t="s">
        <v>27</v>
      </c>
      <c r="E11" t="s">
        <v>35</v>
      </c>
      <c r="F11" t="s">
        <v>49</v>
      </c>
      <c r="G11" s="20">
        <v>193</v>
      </c>
      <c r="H11" s="19">
        <v>60</v>
      </c>
      <c r="I11" s="19">
        <v>5</v>
      </c>
      <c r="K11" s="22">
        <f t="shared" si="0"/>
        <v>53.169286770559488</v>
      </c>
      <c r="L11" s="32">
        <f t="shared" si="1"/>
        <v>171.02787244529969</v>
      </c>
      <c r="M11" s="32">
        <f t="shared" si="2"/>
        <v>14.252322703774974</v>
      </c>
      <c r="O11" s="4">
        <f>L11-M11</f>
        <v>156.77554974152471</v>
      </c>
      <c r="P11" s="4"/>
      <c r="Q11" s="22">
        <f t="shared" si="3"/>
        <v>6958.5429202225077</v>
      </c>
      <c r="R11" s="32">
        <f t="shared" si="4"/>
        <v>22383.313060049066</v>
      </c>
      <c r="S11" s="32">
        <f t="shared" si="5"/>
        <v>1865.2760883374222</v>
      </c>
      <c r="U11" s="4">
        <f>R11-S11</f>
        <v>20518.036971711645</v>
      </c>
      <c r="V11" s="4"/>
      <c r="W11" s="22">
        <f t="shared" si="6"/>
        <v>3.8996637302988342</v>
      </c>
      <c r="X11" s="35">
        <f t="shared" si="7"/>
        <v>12.543918332461251</v>
      </c>
      <c r="Y11" s="35">
        <f t="shared" si="8"/>
        <v>1.045326527705104</v>
      </c>
      <c r="AA11" s="4">
        <f>X11-Y11</f>
        <v>11.498591804756147</v>
      </c>
      <c r="AB11" s="4"/>
      <c r="AC11" s="22">
        <f t="shared" si="9"/>
        <v>5.948170844849451</v>
      </c>
      <c r="AD11" s="31">
        <f t="shared" si="10"/>
        <v>19.133282884265736</v>
      </c>
      <c r="AE11" s="31">
        <f t="shared" si="11"/>
        <v>1.5944402403554778</v>
      </c>
      <c r="AG11" s="4">
        <f>AD11-AE11</f>
        <v>17.538842643910257</v>
      </c>
    </row>
    <row r="12" spans="2:33" x14ac:dyDescent="0.25">
      <c r="C12" s="3"/>
      <c r="E12" t="s">
        <v>36</v>
      </c>
      <c r="G12" s="20">
        <v>182</v>
      </c>
      <c r="H12" s="19">
        <v>60</v>
      </c>
      <c r="I12" s="19">
        <v>5</v>
      </c>
      <c r="K12" s="22">
        <f t="shared" si="0"/>
        <v>53.169286770559488</v>
      </c>
      <c r="L12" s="32">
        <f t="shared" si="1"/>
        <v>161.28016987069711</v>
      </c>
      <c r="M12" s="32">
        <f t="shared" si="2"/>
        <v>13.440014155891426</v>
      </c>
      <c r="O12" s="4">
        <f>L12-M12</f>
        <v>147.84015571480569</v>
      </c>
      <c r="P12" s="4"/>
      <c r="Q12" s="22">
        <f t="shared" si="3"/>
        <v>6958.5429202225077</v>
      </c>
      <c r="R12" s="32">
        <f t="shared" si="4"/>
        <v>21107.580191341607</v>
      </c>
      <c r="S12" s="32">
        <f t="shared" si="5"/>
        <v>1758.9650159451339</v>
      </c>
      <c r="U12" s="4">
        <f>R12-S12</f>
        <v>19348.615175396473</v>
      </c>
      <c r="V12" s="4"/>
      <c r="W12" s="22">
        <f t="shared" si="6"/>
        <v>3.8996637302988342</v>
      </c>
      <c r="X12" s="35">
        <f t="shared" si="7"/>
        <v>11.828979981906464</v>
      </c>
      <c r="Y12" s="35">
        <f t="shared" si="8"/>
        <v>0.98574833182553856</v>
      </c>
      <c r="AA12" s="4">
        <f>X12-Y12</f>
        <v>10.843231650080925</v>
      </c>
      <c r="AB12" s="4"/>
      <c r="AC12" s="22">
        <f t="shared" si="9"/>
        <v>5.948170844849451</v>
      </c>
      <c r="AD12" s="31">
        <f t="shared" si="10"/>
        <v>18.042784896043333</v>
      </c>
      <c r="AE12" s="31">
        <f t="shared" si="11"/>
        <v>1.5035654080036112</v>
      </c>
      <c r="AG12" s="4">
        <f>AD12-AE12</f>
        <v>16.539219488039723</v>
      </c>
    </row>
    <row r="13" spans="2:33" x14ac:dyDescent="0.25">
      <c r="C13" s="3" t="s">
        <v>28</v>
      </c>
      <c r="E13" t="s">
        <v>35</v>
      </c>
      <c r="F13" t="s">
        <v>49</v>
      </c>
      <c r="G13" s="20">
        <v>258</v>
      </c>
      <c r="H13" s="19">
        <v>60</v>
      </c>
      <c r="I13" s="19">
        <v>5</v>
      </c>
      <c r="K13" s="22">
        <f t="shared" si="0"/>
        <v>53.169286770559488</v>
      </c>
      <c r="L13" s="32">
        <f t="shared" si="1"/>
        <v>228.62793311340579</v>
      </c>
      <c r="M13" s="32">
        <f t="shared" si="2"/>
        <v>19.052327759450485</v>
      </c>
      <c r="O13" s="4">
        <f t="shared" ref="O13:O18" si="12">L13-M13</f>
        <v>209.5756053539553</v>
      </c>
      <c r="Q13" s="22">
        <f t="shared" si="3"/>
        <v>6958.5429202225077</v>
      </c>
      <c r="R13" s="32">
        <f t="shared" si="4"/>
        <v>29921.734556956781</v>
      </c>
      <c r="S13" s="32">
        <f t="shared" si="5"/>
        <v>2493.4778797463987</v>
      </c>
      <c r="U13" s="4">
        <f t="shared" ref="U13:U18" si="13">R13-S13</f>
        <v>27428.256677210382</v>
      </c>
      <c r="W13" s="22">
        <f t="shared" si="6"/>
        <v>3.8996637302988342</v>
      </c>
      <c r="X13" s="35">
        <f t="shared" si="7"/>
        <v>16.768554040284986</v>
      </c>
      <c r="Y13" s="35">
        <f t="shared" si="8"/>
        <v>1.3973795033570822</v>
      </c>
      <c r="AA13" s="4">
        <f t="shared" ref="AA13:AA18" si="14">X13-Y13</f>
        <v>15.371174536927903</v>
      </c>
      <c r="AB13" s="4"/>
      <c r="AC13" s="22">
        <f t="shared" si="9"/>
        <v>5.948170844849451</v>
      </c>
      <c r="AD13" s="31">
        <f t="shared" si="10"/>
        <v>25.577134632852637</v>
      </c>
      <c r="AE13" s="31">
        <f t="shared" si="11"/>
        <v>2.1314278860710534</v>
      </c>
      <c r="AG13" s="4">
        <f t="shared" ref="AG13:AG18" si="15">AD13-AE13</f>
        <v>23.445706746781582</v>
      </c>
    </row>
    <row r="14" spans="2:33" x14ac:dyDescent="0.25">
      <c r="C14" s="3"/>
      <c r="E14" t="s">
        <v>36</v>
      </c>
      <c r="G14" s="20">
        <v>322</v>
      </c>
      <c r="H14" s="19">
        <v>60</v>
      </c>
      <c r="I14" s="19">
        <v>5</v>
      </c>
      <c r="K14" s="22">
        <f t="shared" si="0"/>
        <v>53.169286770559488</v>
      </c>
      <c r="L14" s="32">
        <f t="shared" si="1"/>
        <v>285.34183900200259</v>
      </c>
      <c r="M14" s="32">
        <f t="shared" si="2"/>
        <v>23.778486583500218</v>
      </c>
      <c r="O14" s="4">
        <f t="shared" si="12"/>
        <v>261.56335241850235</v>
      </c>
      <c r="Q14" s="22">
        <f t="shared" si="3"/>
        <v>6958.5429202225077</v>
      </c>
      <c r="R14" s="32">
        <f t="shared" si="4"/>
        <v>37344.180338527454</v>
      </c>
      <c r="S14" s="32">
        <f t="shared" si="5"/>
        <v>3112.0150282106215</v>
      </c>
      <c r="U14" s="4">
        <f t="shared" si="13"/>
        <v>34232.165310316836</v>
      </c>
      <c r="W14" s="22">
        <f t="shared" si="6"/>
        <v>3.8996637302988342</v>
      </c>
      <c r="X14" s="35">
        <f t="shared" si="7"/>
        <v>20.928195352603741</v>
      </c>
      <c r="Y14" s="35">
        <f t="shared" si="8"/>
        <v>1.7440162793836453</v>
      </c>
      <c r="AA14" s="4">
        <f t="shared" si="14"/>
        <v>19.184179073220093</v>
      </c>
      <c r="AB14" s="4"/>
      <c r="AC14" s="22">
        <f t="shared" si="9"/>
        <v>5.948170844849451</v>
      </c>
      <c r="AD14" s="31">
        <f t="shared" si="10"/>
        <v>31.921850200692052</v>
      </c>
      <c r="AE14" s="31">
        <f t="shared" si="11"/>
        <v>2.6601541833910045</v>
      </c>
      <c r="AG14" s="4">
        <f t="shared" si="15"/>
        <v>29.261696017301048</v>
      </c>
    </row>
    <row r="15" spans="2:33" x14ac:dyDescent="0.25">
      <c r="C15" s="3" t="s">
        <v>29</v>
      </c>
      <c r="E15" t="s">
        <v>35</v>
      </c>
      <c r="F15" t="s">
        <v>49</v>
      </c>
      <c r="G15" s="20">
        <v>239</v>
      </c>
      <c r="H15" s="19">
        <v>60</v>
      </c>
      <c r="I15" s="19">
        <v>5</v>
      </c>
      <c r="K15" s="22">
        <f t="shared" si="0"/>
        <v>53.169286770559488</v>
      </c>
      <c r="L15" s="32">
        <f t="shared" si="1"/>
        <v>211.79099230272863</v>
      </c>
      <c r="M15" s="32">
        <f t="shared" si="2"/>
        <v>17.649249358560716</v>
      </c>
      <c r="O15" s="4">
        <f t="shared" si="12"/>
        <v>194.1417429441679</v>
      </c>
      <c r="Q15" s="22">
        <f t="shared" si="3"/>
        <v>6958.5429202225077</v>
      </c>
      <c r="R15" s="32">
        <f t="shared" si="4"/>
        <v>27718.19596555299</v>
      </c>
      <c r="S15" s="32">
        <f t="shared" si="5"/>
        <v>2309.8496637960825</v>
      </c>
      <c r="U15" s="4">
        <f t="shared" si="13"/>
        <v>25408.346301756908</v>
      </c>
      <c r="W15" s="22">
        <f t="shared" si="6"/>
        <v>3.8996637302988342</v>
      </c>
      <c r="X15" s="35">
        <f t="shared" si="7"/>
        <v>15.533660525690356</v>
      </c>
      <c r="Y15" s="35">
        <f t="shared" si="8"/>
        <v>1.2944717104741963</v>
      </c>
      <c r="AA15" s="4">
        <f t="shared" si="14"/>
        <v>14.23918881521616</v>
      </c>
      <c r="AB15" s="4"/>
      <c r="AC15" s="22">
        <f t="shared" si="9"/>
        <v>5.948170844849451</v>
      </c>
      <c r="AD15" s="31">
        <f t="shared" si="10"/>
        <v>23.693547198650315</v>
      </c>
      <c r="AE15" s="31">
        <f t="shared" si="11"/>
        <v>1.9744622665541927</v>
      </c>
      <c r="AG15" s="4">
        <f t="shared" si="15"/>
        <v>21.719084932096123</v>
      </c>
    </row>
    <row r="16" spans="2:33" x14ac:dyDescent="0.25">
      <c r="C16" s="3"/>
      <c r="E16" t="s">
        <v>36</v>
      </c>
      <c r="G16" s="20">
        <v>298</v>
      </c>
      <c r="H16" s="19">
        <v>60</v>
      </c>
      <c r="I16" s="19">
        <v>5</v>
      </c>
      <c r="K16" s="22">
        <f t="shared" si="0"/>
        <v>53.169286770559488</v>
      </c>
      <c r="L16" s="32">
        <f t="shared" si="1"/>
        <v>264.07412429377882</v>
      </c>
      <c r="M16" s="32">
        <f t="shared" si="2"/>
        <v>22.006177024481566</v>
      </c>
      <c r="O16" s="4">
        <f t="shared" si="12"/>
        <v>242.06794726929726</v>
      </c>
      <c r="Q16" s="22">
        <f t="shared" si="3"/>
        <v>6958.5429202225077</v>
      </c>
      <c r="R16" s="32">
        <f t="shared" si="4"/>
        <v>34560.763170438455</v>
      </c>
      <c r="S16" s="32">
        <f t="shared" si="5"/>
        <v>2880.0635975365381</v>
      </c>
      <c r="U16" s="4">
        <f t="shared" si="13"/>
        <v>31680.699572901918</v>
      </c>
      <c r="W16" s="22">
        <f t="shared" si="6"/>
        <v>3.8996637302988342</v>
      </c>
      <c r="X16" s="35">
        <f t="shared" si="7"/>
        <v>19.368329860484209</v>
      </c>
      <c r="Y16" s="35">
        <f t="shared" si="8"/>
        <v>1.6140274883736843</v>
      </c>
      <c r="AA16" s="4">
        <f t="shared" si="14"/>
        <v>17.754302372110526</v>
      </c>
      <c r="AB16" s="4"/>
      <c r="AC16" s="22">
        <f t="shared" si="9"/>
        <v>5.948170844849451</v>
      </c>
      <c r="AD16" s="31">
        <f t="shared" si="10"/>
        <v>29.542581862752275</v>
      </c>
      <c r="AE16" s="31">
        <f t="shared" si="11"/>
        <v>2.4618818218960228</v>
      </c>
      <c r="AG16" s="4">
        <f t="shared" si="15"/>
        <v>27.080700040856254</v>
      </c>
    </row>
    <row r="17" spans="2:33" x14ac:dyDescent="0.25">
      <c r="C17" s="3" t="s">
        <v>30</v>
      </c>
      <c r="E17" t="s">
        <v>35</v>
      </c>
      <c r="F17" t="s">
        <v>49</v>
      </c>
      <c r="G17" s="20">
        <v>159</v>
      </c>
      <c r="H17" s="19">
        <v>60</v>
      </c>
      <c r="I17" s="19">
        <v>5</v>
      </c>
      <c r="K17" s="22">
        <f t="shared" si="0"/>
        <v>53.169286770559488</v>
      </c>
      <c r="L17" s="32">
        <f t="shared" si="1"/>
        <v>140.89860994198264</v>
      </c>
      <c r="M17" s="32">
        <f t="shared" si="2"/>
        <v>11.741550828498555</v>
      </c>
      <c r="O17" s="4">
        <f t="shared" si="12"/>
        <v>129.15705911348408</v>
      </c>
      <c r="Q17" s="22">
        <f t="shared" si="3"/>
        <v>6958.5429202225077</v>
      </c>
      <c r="R17" s="32">
        <f t="shared" si="4"/>
        <v>18440.138738589645</v>
      </c>
      <c r="S17" s="32">
        <f t="shared" si="5"/>
        <v>1536.678228215804</v>
      </c>
      <c r="U17" s="4">
        <f t="shared" si="13"/>
        <v>16903.460510373839</v>
      </c>
      <c r="W17" s="22">
        <f t="shared" si="6"/>
        <v>3.8996637302988342</v>
      </c>
      <c r="X17" s="35">
        <f t="shared" si="7"/>
        <v>10.33410888529191</v>
      </c>
      <c r="Y17" s="35">
        <f t="shared" si="8"/>
        <v>0.86117574044099265</v>
      </c>
      <c r="AA17" s="4">
        <f t="shared" si="14"/>
        <v>9.4729331448509164</v>
      </c>
      <c r="AB17" s="4"/>
      <c r="AC17" s="22">
        <f t="shared" si="9"/>
        <v>5.948170844849451</v>
      </c>
      <c r="AD17" s="31">
        <f t="shared" si="10"/>
        <v>15.762652738851045</v>
      </c>
      <c r="AE17" s="31">
        <f t="shared" si="11"/>
        <v>1.3135543949042539</v>
      </c>
      <c r="AG17" s="4">
        <f t="shared" si="15"/>
        <v>14.449098343946792</v>
      </c>
    </row>
    <row r="18" spans="2:33" x14ac:dyDescent="0.25">
      <c r="C18" s="3"/>
      <c r="E18" t="s">
        <v>36</v>
      </c>
      <c r="G18" s="20">
        <v>352</v>
      </c>
      <c r="H18" s="19">
        <v>60</v>
      </c>
      <c r="I18" s="19">
        <v>5</v>
      </c>
      <c r="K18" s="22">
        <f t="shared" si="0"/>
        <v>53.169286770559488</v>
      </c>
      <c r="L18" s="32">
        <f t="shared" si="1"/>
        <v>311.92648238728231</v>
      </c>
      <c r="M18" s="32">
        <f t="shared" si="2"/>
        <v>25.993873532273529</v>
      </c>
      <c r="O18" s="4">
        <f t="shared" si="12"/>
        <v>285.93260885500877</v>
      </c>
      <c r="Q18" s="22">
        <f t="shared" si="3"/>
        <v>6958.5429202225077</v>
      </c>
      <c r="R18" s="32">
        <f t="shared" si="4"/>
        <v>40823.451798638707</v>
      </c>
      <c r="S18" s="32">
        <f t="shared" si="5"/>
        <v>3401.9543165532264</v>
      </c>
      <c r="U18" s="4">
        <f t="shared" si="13"/>
        <v>37421.497482085484</v>
      </c>
      <c r="W18" s="22">
        <f t="shared" si="6"/>
        <v>3.8996637302988342</v>
      </c>
      <c r="X18" s="35">
        <f t="shared" si="7"/>
        <v>22.878027217753157</v>
      </c>
      <c r="Y18" s="35">
        <f t="shared" si="8"/>
        <v>1.9065022681460968</v>
      </c>
      <c r="AA18" s="4">
        <f t="shared" si="14"/>
        <v>20.971524949607062</v>
      </c>
      <c r="AB18" s="4"/>
      <c r="AC18" s="22">
        <f t="shared" si="9"/>
        <v>5.948170844849451</v>
      </c>
      <c r="AD18" s="31">
        <f t="shared" si="10"/>
        <v>34.895935623116777</v>
      </c>
      <c r="AE18" s="31">
        <f t="shared" si="11"/>
        <v>2.9079946352597319</v>
      </c>
      <c r="AG18" s="4">
        <f t="shared" si="15"/>
        <v>31.987940987857044</v>
      </c>
    </row>
    <row r="19" spans="2:33" ht="15.75" thickBot="1" x14ac:dyDescent="0.3">
      <c r="C19" s="3"/>
    </row>
    <row r="20" spans="2:33" ht="21" x14ac:dyDescent="0.35">
      <c r="B20" s="45"/>
      <c r="C20" s="45"/>
      <c r="D20" s="45"/>
      <c r="E20" s="106" t="s">
        <v>77</v>
      </c>
      <c r="F20" s="106"/>
      <c r="G20" s="106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</row>
    <row r="21" spans="2:33" ht="15.75" thickBot="1" x14ac:dyDescent="0.3">
      <c r="C21" s="3"/>
    </row>
    <row r="22" spans="2:33" ht="30.75" thickBot="1" x14ac:dyDescent="0.3">
      <c r="B22" s="79" t="s">
        <v>61</v>
      </c>
      <c r="C22" s="39">
        <v>250</v>
      </c>
      <c r="I22" s="107" t="s">
        <v>79</v>
      </c>
      <c r="J22" s="108"/>
      <c r="K22" s="108"/>
      <c r="L22" s="108"/>
      <c r="M22" s="108"/>
      <c r="N22" s="109"/>
    </row>
    <row r="23" spans="2:33" ht="30.75" thickBot="1" x14ac:dyDescent="0.3">
      <c r="B23" s="37" t="s">
        <v>62</v>
      </c>
      <c r="C23" s="39">
        <v>20</v>
      </c>
      <c r="I23" s="46"/>
      <c r="J23" s="3"/>
      <c r="K23" s="77"/>
      <c r="L23" s="34"/>
      <c r="M23" s="77"/>
      <c r="N23" s="80"/>
    </row>
    <row r="24" spans="2:33" ht="15.75" thickBot="1" x14ac:dyDescent="0.3">
      <c r="I24" s="46"/>
      <c r="J24" s="84"/>
      <c r="K24" s="110" t="s">
        <v>80</v>
      </c>
      <c r="L24" s="110"/>
      <c r="M24" s="110"/>
      <c r="N24" s="80"/>
    </row>
    <row r="25" spans="2:33" ht="15.75" customHeight="1" thickBot="1" x14ac:dyDescent="0.3">
      <c r="B25" s="27" t="s">
        <v>85</v>
      </c>
      <c r="C25" s="88">
        <v>53.169286770559488</v>
      </c>
      <c r="I25" s="46"/>
      <c r="J25" s="117"/>
      <c r="K25" s="115" t="s">
        <v>81</v>
      </c>
      <c r="L25" s="115"/>
      <c r="M25" s="115"/>
      <c r="N25" s="80"/>
    </row>
    <row r="26" spans="2:33" ht="15.75" thickBot="1" x14ac:dyDescent="0.3">
      <c r="B26" s="27" t="s">
        <v>86</v>
      </c>
      <c r="C26" s="89">
        <v>6958.5429202225077</v>
      </c>
      <c r="I26" s="46"/>
      <c r="J26" s="118"/>
      <c r="K26" s="116"/>
      <c r="L26" s="116"/>
      <c r="M26" s="116"/>
      <c r="N26" s="80"/>
    </row>
    <row r="27" spans="2:33" ht="15.75" thickBot="1" x14ac:dyDescent="0.3">
      <c r="B27" s="27" t="s">
        <v>87</v>
      </c>
      <c r="C27" s="88">
        <v>3.8996637302988342</v>
      </c>
      <c r="I27" s="46"/>
      <c r="J27" s="90"/>
      <c r="K27" s="112" t="s">
        <v>89</v>
      </c>
      <c r="L27" s="112"/>
      <c r="M27" s="112"/>
      <c r="N27" s="80"/>
    </row>
    <row r="28" spans="2:33" ht="15.75" thickBot="1" x14ac:dyDescent="0.3">
      <c r="B28" s="27" t="s">
        <v>88</v>
      </c>
      <c r="C28" s="88">
        <v>5.948170844849451</v>
      </c>
      <c r="I28" s="46"/>
      <c r="J28" s="91"/>
      <c r="K28" s="113"/>
      <c r="L28" s="113"/>
      <c r="M28" s="113"/>
      <c r="N28" s="80"/>
    </row>
    <row r="29" spans="2:33" ht="15.75" thickBot="1" x14ac:dyDescent="0.3">
      <c r="C29" s="3"/>
      <c r="I29" s="58"/>
      <c r="J29" s="59"/>
      <c r="K29" s="81"/>
      <c r="L29" s="82"/>
      <c r="M29" s="81"/>
      <c r="N29" s="83"/>
    </row>
    <row r="30" spans="2:33" ht="30.75" thickBot="1" x14ac:dyDescent="0.3">
      <c r="B30" s="79" t="s">
        <v>84</v>
      </c>
      <c r="C30" s="64">
        <v>3600</v>
      </c>
    </row>
    <row r="31" spans="2:33" ht="30.75" thickBot="1" x14ac:dyDescent="0.3">
      <c r="B31" s="37" t="s">
        <v>67</v>
      </c>
      <c r="C31" s="87">
        <v>2.20462E-3</v>
      </c>
    </row>
    <row r="32" spans="2:33" ht="30.75" thickBot="1" x14ac:dyDescent="0.3">
      <c r="B32" s="37" t="s">
        <v>68</v>
      </c>
      <c r="C32" s="64">
        <v>5.0000000000000001E-4</v>
      </c>
    </row>
    <row r="33" spans="2:7" x14ac:dyDescent="0.25">
      <c r="C33" s="3"/>
    </row>
    <row r="34" spans="2:7" x14ac:dyDescent="0.25">
      <c r="C34" s="3"/>
    </row>
    <row r="35" spans="2:7" ht="15.75" thickBot="1" x14ac:dyDescent="0.3">
      <c r="C35" s="3"/>
    </row>
    <row r="36" spans="2:7" ht="15.75" thickBot="1" x14ac:dyDescent="0.3">
      <c r="B36" s="103" t="s">
        <v>75</v>
      </c>
      <c r="C36" s="104"/>
      <c r="D36" s="104"/>
      <c r="E36" s="104"/>
      <c r="F36" s="104"/>
      <c r="G36" s="105"/>
    </row>
    <row r="37" spans="2:7" x14ac:dyDescent="0.25">
      <c r="B37" s="65" t="s">
        <v>76</v>
      </c>
      <c r="C37" s="66"/>
      <c r="D37" s="66"/>
      <c r="E37" s="66"/>
      <c r="F37" s="66"/>
      <c r="G37" s="67"/>
    </row>
    <row r="38" spans="2:7" x14ac:dyDescent="0.25">
      <c r="B38" s="68" t="s">
        <v>90</v>
      </c>
      <c r="C38" s="69"/>
      <c r="D38" s="69"/>
      <c r="E38" s="69"/>
      <c r="F38" s="69"/>
      <c r="G38" s="70"/>
    </row>
    <row r="39" spans="2:7" ht="30" x14ac:dyDescent="0.25">
      <c r="B39" s="48" t="s">
        <v>14</v>
      </c>
      <c r="C39" s="25" t="s">
        <v>55</v>
      </c>
      <c r="D39" s="25"/>
      <c r="E39" s="25" t="s">
        <v>52</v>
      </c>
      <c r="F39" s="25" t="s">
        <v>54</v>
      </c>
      <c r="G39" s="49" t="s">
        <v>66</v>
      </c>
    </row>
    <row r="40" spans="2:7" x14ac:dyDescent="0.25">
      <c r="B40" s="46" t="s">
        <v>15</v>
      </c>
      <c r="C40" s="34">
        <f>SUM(O9:O18)</f>
        <v>2187.5469194503939</v>
      </c>
      <c r="D40" s="3"/>
      <c r="E40" s="34">
        <f>($C$31*C40)*$C$22</f>
        <v>1205.6774223896819</v>
      </c>
      <c r="F40" s="93">
        <f>E40*$C$32</f>
        <v>0.60283871119484089</v>
      </c>
      <c r="G40" s="51">
        <f>$F$2/F40</f>
        <v>63035.102581058673</v>
      </c>
    </row>
    <row r="41" spans="2:7" x14ac:dyDescent="0.25">
      <c r="B41" s="46" t="s">
        <v>16</v>
      </c>
      <c r="C41" s="34">
        <f>SUM(U9:U18)</f>
        <v>286295.71795243246</v>
      </c>
      <c r="D41" s="3"/>
      <c r="E41" s="34">
        <f t="shared" ref="E41:E45" si="16">($C$31*C41)*$C$22</f>
        <v>157793.31642807293</v>
      </c>
      <c r="F41" s="93">
        <f t="shared" ref="F41:F45" si="17">E41*$C$32</f>
        <v>78.896658214036464</v>
      </c>
      <c r="G41" s="51">
        <f t="shared" ref="G41:G45" si="18">$F$2/F41</f>
        <v>481.64270655052206</v>
      </c>
    </row>
    <row r="42" spans="2:7" x14ac:dyDescent="0.25">
      <c r="B42" s="46" t="s">
        <v>69</v>
      </c>
      <c r="C42" s="34">
        <f>SUM(AA9:AA18)</f>
        <v>160.44408150366993</v>
      </c>
      <c r="D42" s="3"/>
      <c r="E42" s="34">
        <f t="shared" si="16"/>
        <v>88.429557741155193</v>
      </c>
      <c r="F42" s="93">
        <f t="shared" si="17"/>
        <v>4.4214778870577599E-2</v>
      </c>
      <c r="G42" s="51">
        <f t="shared" si="18"/>
        <v>859441.14096399618</v>
      </c>
    </row>
    <row r="43" spans="2:7" x14ac:dyDescent="0.25">
      <c r="B43" s="46" t="s">
        <v>17</v>
      </c>
      <c r="C43" s="34">
        <f>SUM(AG9:AG18)</f>
        <v>244.72592352357674</v>
      </c>
      <c r="D43" s="3"/>
      <c r="E43" s="34">
        <f t="shared" si="16"/>
        <v>134.88191637963695</v>
      </c>
      <c r="F43" s="93">
        <f t="shared" si="17"/>
        <v>6.7440958189818476E-2</v>
      </c>
      <c r="G43" s="51">
        <f t="shared" si="18"/>
        <v>563455.81409216754</v>
      </c>
    </row>
    <row r="44" spans="2:7" x14ac:dyDescent="0.25">
      <c r="B44" s="46"/>
      <c r="C44" s="34"/>
      <c r="D44" s="3"/>
      <c r="E44" s="34"/>
      <c r="F44" s="3"/>
      <c r="G44" s="47"/>
    </row>
    <row r="45" spans="2:7" x14ac:dyDescent="0.25">
      <c r="B45" s="53" t="s">
        <v>56</v>
      </c>
      <c r="C45" s="30">
        <f>SUM(C40:C43)</f>
        <v>288888.43487691012</v>
      </c>
      <c r="D45" s="24"/>
      <c r="E45" s="30">
        <f t="shared" si="16"/>
        <v>159222.3053245834</v>
      </c>
      <c r="F45" s="92">
        <f t="shared" si="17"/>
        <v>79.611152662291701</v>
      </c>
      <c r="G45" s="54">
        <f t="shared" si="18"/>
        <v>477.32005792197162</v>
      </c>
    </row>
    <row r="46" spans="2:7" x14ac:dyDescent="0.25">
      <c r="B46" s="46"/>
      <c r="C46" s="3"/>
      <c r="D46" s="3"/>
      <c r="E46" s="3"/>
      <c r="F46" s="3"/>
      <c r="G46" s="47"/>
    </row>
    <row r="47" spans="2:7" x14ac:dyDescent="0.25">
      <c r="B47" s="46"/>
      <c r="C47" s="3"/>
      <c r="D47" s="3"/>
      <c r="E47" s="3"/>
      <c r="F47" s="3"/>
      <c r="G47" s="47"/>
    </row>
    <row r="48" spans="2:7" ht="45" x14ac:dyDescent="0.25">
      <c r="B48" s="48" t="s">
        <v>14</v>
      </c>
      <c r="C48" s="25"/>
      <c r="D48" s="25"/>
      <c r="E48" s="25"/>
      <c r="F48" s="41" t="s">
        <v>64</v>
      </c>
      <c r="G48" s="49" t="s">
        <v>65</v>
      </c>
    </row>
    <row r="49" spans="2:7" x14ac:dyDescent="0.25">
      <c r="B49" s="53" t="s">
        <v>15</v>
      </c>
      <c r="C49" s="24"/>
      <c r="D49" s="24"/>
      <c r="E49" s="24"/>
      <c r="F49" s="94">
        <f>F40*$C$23</f>
        <v>12.056774223896818</v>
      </c>
      <c r="G49" s="95">
        <f>$F$2/F49</f>
        <v>3151.7551290529336</v>
      </c>
    </row>
    <row r="50" spans="2:7" x14ac:dyDescent="0.25">
      <c r="B50" s="46" t="s">
        <v>16</v>
      </c>
      <c r="C50" s="3"/>
      <c r="D50" s="3"/>
      <c r="E50" s="3"/>
      <c r="F50" s="77">
        <f t="shared" ref="F50:F52" si="19">F41*$C$23</f>
        <v>1577.9331642807292</v>
      </c>
      <c r="G50" s="57">
        <f t="shared" ref="G50:G52" si="20">$F$2/F50</f>
        <v>24.082135327526103</v>
      </c>
    </row>
    <row r="51" spans="2:7" x14ac:dyDescent="0.25">
      <c r="B51" s="46" t="s">
        <v>69</v>
      </c>
      <c r="C51" s="3"/>
      <c r="D51" s="3"/>
      <c r="E51" s="3"/>
      <c r="F51" s="77">
        <f t="shared" si="19"/>
        <v>0.88429557741155196</v>
      </c>
      <c r="G51" s="57">
        <f t="shared" si="20"/>
        <v>42972.057048199807</v>
      </c>
    </row>
    <row r="52" spans="2:7" x14ac:dyDescent="0.25">
      <c r="B52" s="46" t="s">
        <v>17</v>
      </c>
      <c r="C52" s="3"/>
      <c r="D52" s="3"/>
      <c r="E52" s="3"/>
      <c r="F52" s="77">
        <f t="shared" si="19"/>
        <v>1.3488191637963696</v>
      </c>
      <c r="G52" s="57">
        <f t="shared" si="20"/>
        <v>28172.790704608375</v>
      </c>
    </row>
    <row r="53" spans="2:7" ht="15.75" thickBot="1" x14ac:dyDescent="0.3">
      <c r="B53" s="58"/>
      <c r="C53" s="59"/>
      <c r="D53" s="59"/>
      <c r="E53" s="59"/>
      <c r="F53" s="59"/>
      <c r="G53" s="60"/>
    </row>
  </sheetData>
  <mergeCells count="8">
    <mergeCell ref="K27:M28"/>
    <mergeCell ref="B36:G36"/>
    <mergeCell ref="D3:G3"/>
    <mergeCell ref="K25:M26"/>
    <mergeCell ref="J25:J26"/>
    <mergeCell ref="E20:G20"/>
    <mergeCell ref="I22:N22"/>
    <mergeCell ref="K24:M24"/>
  </mergeCells>
  <pageMargins left="0.7" right="0.7" top="0.75" bottom="0.75" header="0.3" footer="0.3"/>
  <pageSetup orientation="portrait" r:id="rId1"/>
  <customProperties>
    <customPr name="LastActive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3"/>
  <sheetViews>
    <sheetView workbookViewId="0">
      <selection activeCell="G6" sqref="G6"/>
    </sheetView>
  </sheetViews>
  <sheetFormatPr defaultRowHeight="15" x14ac:dyDescent="0.25"/>
  <cols>
    <col min="1" max="1" width="7.42578125" style="10" bestFit="1" customWidth="1"/>
    <col min="2" max="2" width="9.140625" style="8"/>
    <col min="3" max="4" width="11.28515625" style="8" bestFit="1" customWidth="1"/>
    <col min="5" max="5" width="9.140625" style="8"/>
    <col min="6" max="7" width="11.28515625" style="8" bestFit="1" customWidth="1"/>
    <col min="8" max="16" width="9.140625" style="9"/>
  </cols>
  <sheetData>
    <row r="1" spans="1:8" x14ac:dyDescent="0.25">
      <c r="A1" s="7" t="s">
        <v>74</v>
      </c>
    </row>
    <row r="3" spans="1:8" x14ac:dyDescent="0.25">
      <c r="C3" s="11" t="s">
        <v>19</v>
      </c>
      <c r="D3" s="11" t="s">
        <v>20</v>
      </c>
      <c r="E3" s="11" t="s">
        <v>20</v>
      </c>
      <c r="F3" s="11" t="s">
        <v>20</v>
      </c>
      <c r="G3" s="11" t="s">
        <v>20</v>
      </c>
    </row>
    <row r="4" spans="1:8" x14ac:dyDescent="0.25">
      <c r="A4" s="10" t="s">
        <v>21</v>
      </c>
      <c r="C4" s="10" t="s">
        <v>22</v>
      </c>
      <c r="D4" s="10" t="s">
        <v>22</v>
      </c>
      <c r="E4" s="10" t="s">
        <v>22</v>
      </c>
      <c r="F4" s="10" t="s">
        <v>22</v>
      </c>
      <c r="G4" s="10" t="s">
        <v>22</v>
      </c>
    </row>
    <row r="5" spans="1:8" x14ac:dyDescent="0.25">
      <c r="A5" s="10" t="s">
        <v>23</v>
      </c>
      <c r="B5" s="12"/>
      <c r="C5" s="13" t="s">
        <v>24</v>
      </c>
      <c r="D5" s="13" t="s">
        <v>15</v>
      </c>
      <c r="E5" s="14" t="s">
        <v>16</v>
      </c>
      <c r="F5" s="13" t="s">
        <v>69</v>
      </c>
      <c r="G5" s="13" t="s">
        <v>17</v>
      </c>
    </row>
    <row r="6" spans="1:8" x14ac:dyDescent="0.25">
      <c r="A6" s="15">
        <v>0</v>
      </c>
      <c r="B6" s="12"/>
      <c r="C6" s="61">
        <v>0.8016834406801463</v>
      </c>
      <c r="D6" s="61">
        <v>53.169286770559488</v>
      </c>
      <c r="E6" s="62">
        <v>6958.5429202225077</v>
      </c>
      <c r="F6" s="61">
        <v>3.8996637302988342</v>
      </c>
      <c r="G6" s="61">
        <v>5.948170844849451</v>
      </c>
      <c r="H6" s="7" t="s">
        <v>25</v>
      </c>
    </row>
    <row r="7" spans="1:8" x14ac:dyDescent="0.25">
      <c r="A7" s="15">
        <v>2.5</v>
      </c>
      <c r="B7" s="12"/>
      <c r="C7" s="61">
        <v>0.3206733762720585</v>
      </c>
      <c r="D7" s="61">
        <v>21.267714708223796</v>
      </c>
      <c r="E7" s="62">
        <v>2783.4171680890031</v>
      </c>
      <c r="F7" s="61">
        <v>1.5598654921195336</v>
      </c>
      <c r="G7" s="61">
        <v>2.3792683379397803</v>
      </c>
    </row>
    <row r="8" spans="1:8" x14ac:dyDescent="0.25">
      <c r="A8" s="15">
        <v>3</v>
      </c>
      <c r="B8" s="12"/>
      <c r="C8" s="61">
        <v>0.29212997818087738</v>
      </c>
      <c r="D8" s="61">
        <v>19.72402717274608</v>
      </c>
      <c r="E8" s="62">
        <v>2535.3892576074322</v>
      </c>
      <c r="F8" s="61">
        <v>1.416142818500123</v>
      </c>
      <c r="G8" s="61">
        <v>2.180584483039858</v>
      </c>
    </row>
    <row r="9" spans="1:8" x14ac:dyDescent="0.25">
      <c r="A9" s="15">
        <v>4</v>
      </c>
      <c r="B9" s="12"/>
      <c r="C9" s="61">
        <v>0.23504318199851518</v>
      </c>
      <c r="D9" s="61">
        <v>16.636652101790656</v>
      </c>
      <c r="E9" s="62">
        <v>2039.3334366442914</v>
      </c>
      <c r="F9" s="61">
        <v>1.1286974712613014</v>
      </c>
      <c r="G9" s="61">
        <v>1.7832167732400133</v>
      </c>
    </row>
    <row r="10" spans="1:8" x14ac:dyDescent="0.25">
      <c r="A10" s="16">
        <v>5</v>
      </c>
      <c r="B10" s="12"/>
      <c r="C10" s="61">
        <v>0.177956385816153</v>
      </c>
      <c r="D10" s="61">
        <v>13.549277030835231</v>
      </c>
      <c r="E10" s="62">
        <v>1543.2776156811501</v>
      </c>
      <c r="F10" s="61">
        <v>0.84125212402247995</v>
      </c>
      <c r="G10" s="61">
        <v>1.3858490634401686</v>
      </c>
    </row>
    <row r="11" spans="1:8" ht="15" customHeight="1" x14ac:dyDescent="0.25">
      <c r="A11" s="16">
        <v>6</v>
      </c>
      <c r="B11" s="12"/>
      <c r="C11" s="61">
        <f>((C10-C15)/5)+C12</f>
        <v>0.16380632142576282</v>
      </c>
      <c r="D11" s="61">
        <f t="shared" ref="D11:G11" si="0">((D10-D15)/5)+D12</f>
        <v>12.776861328303324</v>
      </c>
      <c r="E11" s="63">
        <f t="shared" si="0"/>
        <v>1420.5043808491043</v>
      </c>
      <c r="F11" s="61">
        <f t="shared" si="0"/>
        <v>0.76889607091963763</v>
      </c>
      <c r="G11" s="61">
        <f t="shared" si="0"/>
        <v>1.292293819377051</v>
      </c>
    </row>
    <row r="12" spans="1:8" x14ac:dyDescent="0.25">
      <c r="A12" s="16">
        <v>7</v>
      </c>
      <c r="B12" s="12"/>
      <c r="C12" s="61">
        <f>((C10-C15)/5)+C13</f>
        <v>0.14965625703537266</v>
      </c>
      <c r="D12" s="61">
        <f t="shared" ref="D12:G12" si="1">((D10-D15)/5)+D13</f>
        <v>12.004445625771416</v>
      </c>
      <c r="E12" s="63">
        <f t="shared" si="1"/>
        <v>1297.7311460170583</v>
      </c>
      <c r="F12" s="61">
        <f t="shared" si="1"/>
        <v>0.6965400178167952</v>
      </c>
      <c r="G12" s="61">
        <f t="shared" si="1"/>
        <v>1.1987385753139337</v>
      </c>
    </row>
    <row r="13" spans="1:8" x14ac:dyDescent="0.25">
      <c r="A13" s="16">
        <v>8</v>
      </c>
      <c r="B13" s="12"/>
      <c r="C13" s="61">
        <f>((C10-C15)/5)+C14</f>
        <v>0.13550619264498251</v>
      </c>
      <c r="D13" s="61">
        <f t="shared" ref="D13:G13" si="2">((D10-D15)/5)+D14</f>
        <v>11.232029923239507</v>
      </c>
      <c r="E13" s="63">
        <f t="shared" si="2"/>
        <v>1174.9579111850123</v>
      </c>
      <c r="F13" s="61">
        <f t="shared" si="2"/>
        <v>0.62418396471395277</v>
      </c>
      <c r="G13" s="61">
        <f t="shared" si="2"/>
        <v>1.1051833312508164</v>
      </c>
    </row>
    <row r="14" spans="1:8" x14ac:dyDescent="0.25">
      <c r="A14" s="16">
        <v>9</v>
      </c>
      <c r="B14" s="12"/>
      <c r="C14" s="61">
        <f>((C10-C15)/5)+C15</f>
        <v>0.12135612825459235</v>
      </c>
      <c r="D14" s="61">
        <f t="shared" ref="D14:G14" si="3">((D10-D15)/5)+D15</f>
        <v>10.459614220707598</v>
      </c>
      <c r="E14" s="63">
        <f t="shared" si="3"/>
        <v>1052.1846763529663</v>
      </c>
      <c r="F14" s="61">
        <f t="shared" si="3"/>
        <v>0.55182791161111033</v>
      </c>
      <c r="G14" s="61">
        <f t="shared" si="3"/>
        <v>1.011628087187699</v>
      </c>
    </row>
    <row r="15" spans="1:8" x14ac:dyDescent="0.25">
      <c r="A15" s="15">
        <v>10</v>
      </c>
      <c r="B15" s="12"/>
      <c r="C15" s="61">
        <v>0.1072060638642022</v>
      </c>
      <c r="D15" s="61">
        <v>9.6871985181756894</v>
      </c>
      <c r="E15" s="62">
        <v>929.41144152092045</v>
      </c>
      <c r="F15" s="61">
        <v>0.47947185850826796</v>
      </c>
      <c r="G15" s="61">
        <v>0.91807284312458159</v>
      </c>
    </row>
    <row r="16" spans="1:8" x14ac:dyDescent="0.25">
      <c r="A16" s="16">
        <v>11</v>
      </c>
      <c r="B16" s="12"/>
      <c r="C16" s="61">
        <f>((C15-C20)/5)+C17</f>
        <v>0.10256735584294616</v>
      </c>
      <c r="D16" s="61">
        <f t="shared" ref="D16:G16" si="4">((D15-D20)/5)+D17</f>
        <v>9.4305689681874796</v>
      </c>
      <c r="E16" s="63">
        <f t="shared" si="4"/>
        <v>889.28628230450659</v>
      </c>
      <c r="F16" s="61">
        <f t="shared" si="4"/>
        <v>0.45528255241718707</v>
      </c>
      <c r="G16" s="61">
        <f t="shared" si="4"/>
        <v>0.88920309923320651</v>
      </c>
    </row>
    <row r="17" spans="1:7" x14ac:dyDescent="0.25">
      <c r="A17" s="16">
        <v>12</v>
      </c>
      <c r="B17" s="12"/>
      <c r="C17" s="61">
        <f>((C15-C20)/5)+C18</f>
        <v>9.7928647821690126E-2</v>
      </c>
      <c r="D17" s="61">
        <f t="shared" ref="D17:G17" si="5">((D15-D20)/5)+D18</f>
        <v>9.1739394181992715</v>
      </c>
      <c r="E17" s="63">
        <f t="shared" si="5"/>
        <v>849.16112308809249</v>
      </c>
      <c r="F17" s="61">
        <f t="shared" si="5"/>
        <v>0.43109324632610629</v>
      </c>
      <c r="G17" s="61">
        <f t="shared" si="5"/>
        <v>0.8603333553418312</v>
      </c>
    </row>
    <row r="18" spans="1:7" x14ac:dyDescent="0.25">
      <c r="A18" s="16">
        <v>13</v>
      </c>
      <c r="B18" s="12"/>
      <c r="C18" s="61">
        <f>((C15-C20)/5)+C19</f>
        <v>9.3289939800434096E-2</v>
      </c>
      <c r="D18" s="61">
        <f t="shared" ref="D18:G18" si="6">((D15-D20)/5)+D19</f>
        <v>8.9173098682110634</v>
      </c>
      <c r="E18" s="63">
        <f t="shared" si="6"/>
        <v>809.0359638716784</v>
      </c>
      <c r="F18" s="61">
        <f t="shared" si="6"/>
        <v>0.40690394023502552</v>
      </c>
      <c r="G18" s="61">
        <f t="shared" si="6"/>
        <v>0.83146361145045589</v>
      </c>
    </row>
    <row r="19" spans="1:7" x14ac:dyDescent="0.25">
      <c r="A19" s="16">
        <v>14</v>
      </c>
      <c r="B19" s="12"/>
      <c r="C19" s="61">
        <f>((C15-C20)/5)+C20</f>
        <v>8.8651231779178066E-2</v>
      </c>
      <c r="D19" s="61">
        <f t="shared" ref="D19:G19" si="7">((D15-D20)/5)+D20</f>
        <v>8.6606803182228553</v>
      </c>
      <c r="E19" s="63">
        <f t="shared" si="7"/>
        <v>768.91080465526431</v>
      </c>
      <c r="F19" s="61">
        <f t="shared" si="7"/>
        <v>0.38271463414394474</v>
      </c>
      <c r="G19" s="61">
        <f t="shared" si="7"/>
        <v>0.80259386755908058</v>
      </c>
    </row>
    <row r="20" spans="1:7" x14ac:dyDescent="0.25">
      <c r="A20" s="15">
        <v>15</v>
      </c>
      <c r="B20" s="12"/>
      <c r="C20" s="61">
        <v>8.4012523757922036E-2</v>
      </c>
      <c r="D20" s="61">
        <v>8.4040507682346473</v>
      </c>
      <c r="E20" s="62">
        <v>728.78564543885022</v>
      </c>
      <c r="F20" s="61">
        <v>0.35852532805286397</v>
      </c>
      <c r="G20" s="61">
        <v>0.77372412366770527</v>
      </c>
    </row>
    <row r="21" spans="1:7" x14ac:dyDescent="0.25">
      <c r="A21" s="16">
        <v>16</v>
      </c>
      <c r="B21" s="12"/>
      <c r="C21" s="61">
        <f>((C20-C25)/5)+C22</f>
        <v>8.1579767714292858E-2</v>
      </c>
      <c r="D21" s="61">
        <f t="shared" ref="D21:G21" si="8">((D20-D25)/5)+D22</f>
        <v>8.2151560284706502</v>
      </c>
      <c r="E21" s="63">
        <f t="shared" si="8"/>
        <v>707.6721161265931</v>
      </c>
      <c r="F21" s="61">
        <f t="shared" si="8"/>
        <v>0.34590603223682692</v>
      </c>
      <c r="G21" s="61">
        <f t="shared" si="8"/>
        <v>0.75783287953462874</v>
      </c>
    </row>
    <row r="22" spans="1:7" x14ac:dyDescent="0.25">
      <c r="A22" s="16">
        <v>17</v>
      </c>
      <c r="B22" s="12"/>
      <c r="C22" s="61">
        <f>((C20-C25)/5)+C23</f>
        <v>7.9147011670663681E-2</v>
      </c>
      <c r="D22" s="61">
        <f t="shared" ref="D22:G22" si="9">((D20-D25)/5)+D23</f>
        <v>8.0262612887066513</v>
      </c>
      <c r="E22" s="63">
        <f t="shared" si="9"/>
        <v>686.55858681433608</v>
      </c>
      <c r="F22" s="61">
        <f t="shared" si="9"/>
        <v>0.33328673642078982</v>
      </c>
      <c r="G22" s="61">
        <f t="shared" si="9"/>
        <v>0.74194163540155234</v>
      </c>
    </row>
    <row r="23" spans="1:7" x14ac:dyDescent="0.25">
      <c r="A23" s="16">
        <v>18</v>
      </c>
      <c r="B23" s="12"/>
      <c r="C23" s="61">
        <f>((C20-C25)/5)+C24</f>
        <v>7.6714255627034503E-2</v>
      </c>
      <c r="D23" s="61">
        <f t="shared" ref="D23:G23" si="10">((D20-D25)/5)+D24</f>
        <v>7.8373665489426525</v>
      </c>
      <c r="E23" s="63">
        <f t="shared" si="10"/>
        <v>665.44505750207907</v>
      </c>
      <c r="F23" s="61">
        <f t="shared" si="10"/>
        <v>0.32066744060475272</v>
      </c>
      <c r="G23" s="61">
        <f t="shared" si="10"/>
        <v>0.72605039126847593</v>
      </c>
    </row>
    <row r="24" spans="1:7" x14ac:dyDescent="0.25">
      <c r="A24" s="16">
        <v>19</v>
      </c>
      <c r="B24" s="12"/>
      <c r="C24" s="61">
        <f>((C20-C25)/5)+C25</f>
        <v>7.4281499583405325E-2</v>
      </c>
      <c r="D24" s="61">
        <f t="shared" ref="D24:G24" si="11">((D20-D25)/5)+D25</f>
        <v>7.6484718091786537</v>
      </c>
      <c r="E24" s="63">
        <f t="shared" si="11"/>
        <v>644.33152818982205</v>
      </c>
      <c r="F24" s="61">
        <f t="shared" si="11"/>
        <v>0.30804814478871562</v>
      </c>
      <c r="G24" s="61">
        <f t="shared" si="11"/>
        <v>0.71015914713539952</v>
      </c>
    </row>
    <row r="25" spans="1:7" x14ac:dyDescent="0.25">
      <c r="A25" s="15">
        <v>20</v>
      </c>
      <c r="B25" s="12"/>
      <c r="C25" s="61">
        <v>7.1848743539776147E-2</v>
      </c>
      <c r="D25" s="61">
        <v>7.4595770694146548</v>
      </c>
      <c r="E25" s="62">
        <v>623.21799887756504</v>
      </c>
      <c r="F25" s="61">
        <v>0.29542884897267851</v>
      </c>
      <c r="G25" s="61">
        <v>0.69426790300232311</v>
      </c>
    </row>
    <row r="26" spans="1:7" x14ac:dyDescent="0.25">
      <c r="A26" s="16">
        <v>21</v>
      </c>
      <c r="B26" s="12"/>
      <c r="C26" s="61">
        <f>((C25-C30)/5)+C27</f>
        <v>7.025901721455094E-2</v>
      </c>
      <c r="D26" s="61">
        <f t="shared" ref="D26:G26" si="12">((D25-D30)/5)+D27</f>
        <v>7.2243983602657567</v>
      </c>
      <c r="E26" s="63">
        <f t="shared" si="12"/>
        <v>609.44316281669387</v>
      </c>
      <c r="F26" s="61">
        <f t="shared" si="12"/>
        <v>0.28689085249133073</v>
      </c>
      <c r="G26" s="61">
        <f t="shared" si="12"/>
        <v>0.6837652276665227</v>
      </c>
    </row>
    <row r="27" spans="1:7" x14ac:dyDescent="0.25">
      <c r="A27" s="16">
        <v>22</v>
      </c>
      <c r="B27" s="12"/>
      <c r="C27" s="61">
        <f>((C25-C30)/5)+C28</f>
        <v>6.8669290889325732E-2</v>
      </c>
      <c r="D27" s="61">
        <f t="shared" ref="D27:G27" si="13">((D25-D30)/5)+D28</f>
        <v>6.9892196511168594</v>
      </c>
      <c r="E27" s="63">
        <f t="shared" si="13"/>
        <v>595.6683267558227</v>
      </c>
      <c r="F27" s="61">
        <f t="shared" si="13"/>
        <v>0.27835285600998289</v>
      </c>
      <c r="G27" s="61">
        <f t="shared" si="13"/>
        <v>0.6732625523307223</v>
      </c>
    </row>
    <row r="28" spans="1:7" x14ac:dyDescent="0.25">
      <c r="A28" s="16">
        <v>23</v>
      </c>
      <c r="B28" s="12"/>
      <c r="C28" s="61">
        <f>((C25-C30)/5)+C29</f>
        <v>6.7079564564100524E-2</v>
      </c>
      <c r="D28" s="61">
        <f t="shared" ref="D28:G28" si="14">((D25-D30)/5)+D29</f>
        <v>6.7540409419679621</v>
      </c>
      <c r="E28" s="63">
        <f t="shared" si="14"/>
        <v>581.89349069495154</v>
      </c>
      <c r="F28" s="61">
        <f t="shared" si="14"/>
        <v>0.26981485952863504</v>
      </c>
      <c r="G28" s="61">
        <f t="shared" si="14"/>
        <v>0.66275987699492189</v>
      </c>
    </row>
    <row r="29" spans="1:7" x14ac:dyDescent="0.25">
      <c r="A29" s="16">
        <v>24</v>
      </c>
      <c r="B29" s="12"/>
      <c r="C29" s="61">
        <f>((C25-C30)/5)+C30</f>
        <v>6.5489838238875317E-2</v>
      </c>
      <c r="D29" s="61">
        <f t="shared" ref="D29:G29" si="15">((D25-D30)/5)+D30</f>
        <v>6.5188622328190649</v>
      </c>
      <c r="E29" s="63">
        <f t="shared" si="15"/>
        <v>568.11865463408037</v>
      </c>
      <c r="F29" s="61">
        <f t="shared" si="15"/>
        <v>0.2612768630472872</v>
      </c>
      <c r="G29" s="61">
        <f t="shared" si="15"/>
        <v>0.65225720165912149</v>
      </c>
    </row>
    <row r="30" spans="1:7" x14ac:dyDescent="0.25">
      <c r="A30" s="15">
        <v>25</v>
      </c>
      <c r="B30" s="12"/>
      <c r="C30" s="61">
        <v>6.3900111913650109E-2</v>
      </c>
      <c r="D30" s="61">
        <v>6.2836835236701676</v>
      </c>
      <c r="E30" s="62">
        <v>554.34381857320921</v>
      </c>
      <c r="F30" s="61">
        <v>0.25273886656593936</v>
      </c>
      <c r="G30" s="61">
        <v>0.64175452632332108</v>
      </c>
    </row>
    <row r="31" spans="1:7" x14ac:dyDescent="0.25">
      <c r="A31" s="16">
        <v>26</v>
      </c>
      <c r="B31" s="12"/>
      <c r="C31" s="61">
        <f>((C30-C35)/5)+C32</f>
        <v>6.2571028494318878E-2</v>
      </c>
      <c r="D31" s="61">
        <f t="shared" ref="D31:G31" si="16">((D30-D35)/5)+D32</f>
        <v>6.2065931037906834</v>
      </c>
      <c r="E31" s="63">
        <f t="shared" si="16"/>
        <v>542.91493760475748</v>
      </c>
      <c r="F31" s="61">
        <f t="shared" si="16"/>
        <v>0.246433568744545</v>
      </c>
      <c r="G31" s="61">
        <f t="shared" si="16"/>
        <v>0.63115285818869671</v>
      </c>
    </row>
    <row r="32" spans="1:7" x14ac:dyDescent="0.25">
      <c r="A32" s="16">
        <v>27</v>
      </c>
      <c r="B32" s="12"/>
      <c r="C32" s="61">
        <f>((C30-C35)/5)+C33</f>
        <v>6.124194507498764E-2</v>
      </c>
      <c r="D32" s="61">
        <f t="shared" ref="D32:G32" si="17">((D30-D35)/5)+D33</f>
        <v>6.1295026839111983</v>
      </c>
      <c r="E32" s="63">
        <f t="shared" si="17"/>
        <v>531.48605663630588</v>
      </c>
      <c r="F32" s="61">
        <f t="shared" si="17"/>
        <v>0.24012827092315059</v>
      </c>
      <c r="G32" s="61">
        <f t="shared" si="17"/>
        <v>0.62055119005407244</v>
      </c>
    </row>
    <row r="33" spans="1:7" x14ac:dyDescent="0.25">
      <c r="A33" s="16">
        <v>28</v>
      </c>
      <c r="B33" s="12"/>
      <c r="C33" s="61">
        <f>((C30-C35)/5)+C34</f>
        <v>5.9912861655656409E-2</v>
      </c>
      <c r="D33" s="61">
        <f t="shared" ref="D33:G33" si="18">((D30-D35)/5)+D34</f>
        <v>6.0524122640317133</v>
      </c>
      <c r="E33" s="63">
        <f t="shared" si="18"/>
        <v>520.05717566785427</v>
      </c>
      <c r="F33" s="61">
        <f t="shared" si="18"/>
        <v>0.23382297310175618</v>
      </c>
      <c r="G33" s="61">
        <f t="shared" si="18"/>
        <v>0.60994952191944818</v>
      </c>
    </row>
    <row r="34" spans="1:7" x14ac:dyDescent="0.25">
      <c r="A34" s="16">
        <v>29</v>
      </c>
      <c r="B34" s="12"/>
      <c r="C34" s="61">
        <f>((C30-C35)/5)+C35</f>
        <v>5.8583778236325178E-2</v>
      </c>
      <c r="D34" s="61">
        <f t="shared" ref="D34:G34" si="19">((D30-D35)/5)+D35</f>
        <v>5.9753218441522282</v>
      </c>
      <c r="E34" s="63">
        <f t="shared" si="19"/>
        <v>508.6282946994026</v>
      </c>
      <c r="F34" s="61">
        <f t="shared" si="19"/>
        <v>0.22751767528036176</v>
      </c>
      <c r="G34" s="61">
        <f t="shared" si="19"/>
        <v>0.59934785378482391</v>
      </c>
    </row>
    <row r="35" spans="1:7" x14ac:dyDescent="0.25">
      <c r="A35" s="15">
        <v>30</v>
      </c>
      <c r="B35" s="12"/>
      <c r="C35" s="61">
        <v>5.7254694816993947E-2</v>
      </c>
      <c r="D35" s="61">
        <v>5.8982314242727432</v>
      </c>
      <c r="E35" s="62">
        <v>497.19941373095094</v>
      </c>
      <c r="F35" s="61">
        <v>0.22121237745896735</v>
      </c>
      <c r="G35" s="61">
        <v>0.58874618565019965</v>
      </c>
    </row>
    <row r="36" spans="1:7" x14ac:dyDescent="0.25">
      <c r="A36" s="16">
        <v>31</v>
      </c>
      <c r="B36" s="12"/>
      <c r="C36" s="61">
        <f>((C35-C40)/5)+C37</f>
        <v>5.6502846601155482E-2</v>
      </c>
      <c r="D36" s="61">
        <f t="shared" ref="D36:G36" si="20">((D35-D40)/5)+D37</f>
        <v>5.801173226168018</v>
      </c>
      <c r="E36" s="63">
        <f t="shared" si="20"/>
        <v>490.51832419473101</v>
      </c>
      <c r="F36" s="61">
        <f t="shared" si="20"/>
        <v>0.21677632279388412</v>
      </c>
      <c r="G36" s="61">
        <f t="shared" si="20"/>
        <v>0.58233090128600695</v>
      </c>
    </row>
    <row r="37" spans="1:7" x14ac:dyDescent="0.25">
      <c r="A37" s="16">
        <v>32</v>
      </c>
      <c r="B37" s="12"/>
      <c r="C37" s="61">
        <f>((C35-C40)/5)+C38</f>
        <v>5.5750998385317024E-2</v>
      </c>
      <c r="D37" s="61">
        <f t="shared" ref="D37:G37" si="21">((D35-D40)/5)+D38</f>
        <v>5.7041150280632928</v>
      </c>
      <c r="E37" s="63">
        <f t="shared" si="21"/>
        <v>483.83723465851108</v>
      </c>
      <c r="F37" s="61">
        <f t="shared" si="21"/>
        <v>0.21234026812880089</v>
      </c>
      <c r="G37" s="61">
        <f t="shared" si="21"/>
        <v>0.57591561692181414</v>
      </c>
    </row>
    <row r="38" spans="1:7" x14ac:dyDescent="0.25">
      <c r="A38" s="16">
        <v>33</v>
      </c>
      <c r="B38" s="12"/>
      <c r="C38" s="61">
        <f>((C35-C40)/5)+C39</f>
        <v>5.4999150169478567E-2</v>
      </c>
      <c r="D38" s="61">
        <f t="shared" ref="D38:G38" si="22">((D35-D40)/5)+D39</f>
        <v>5.6070568299585677</v>
      </c>
      <c r="E38" s="63">
        <f t="shared" si="22"/>
        <v>477.15614512229115</v>
      </c>
      <c r="F38" s="61">
        <f t="shared" si="22"/>
        <v>0.20790421346371765</v>
      </c>
      <c r="G38" s="61">
        <f t="shared" si="22"/>
        <v>0.56950033255762134</v>
      </c>
    </row>
    <row r="39" spans="1:7" x14ac:dyDescent="0.25">
      <c r="A39" s="16">
        <v>34</v>
      </c>
      <c r="B39" s="12"/>
      <c r="C39" s="61">
        <f>((C35-C40)/5)+C40</f>
        <v>5.4247301953640109E-2</v>
      </c>
      <c r="D39" s="61">
        <f t="shared" ref="D39:G39" si="23">((D35-D40)/5)+D40</f>
        <v>5.5099986318538425</v>
      </c>
      <c r="E39" s="63">
        <f t="shared" si="23"/>
        <v>470.47505558607122</v>
      </c>
      <c r="F39" s="61">
        <f t="shared" si="23"/>
        <v>0.20346815879863442</v>
      </c>
      <c r="G39" s="61">
        <f t="shared" si="23"/>
        <v>0.56308504819342853</v>
      </c>
    </row>
    <row r="40" spans="1:7" x14ac:dyDescent="0.25">
      <c r="A40" s="15">
        <v>35</v>
      </c>
      <c r="B40" s="12"/>
      <c r="C40" s="61">
        <v>5.3495453737801651E-2</v>
      </c>
      <c r="D40" s="61">
        <v>5.4129404337491174</v>
      </c>
      <c r="E40" s="62">
        <v>463.79396604985129</v>
      </c>
      <c r="F40" s="61">
        <v>0.19903210413355119</v>
      </c>
      <c r="G40" s="61">
        <v>0.55666976382923572</v>
      </c>
    </row>
    <row r="41" spans="1:7" x14ac:dyDescent="0.25">
      <c r="A41" s="16">
        <v>36</v>
      </c>
      <c r="B41" s="12"/>
      <c r="C41" s="61">
        <f>((C40-C45)/5)+C42</f>
        <v>5.3081999661456061E-2</v>
      </c>
      <c r="D41" s="61">
        <f t="shared" ref="D41:G41" si="24">((D40-D45)/5)+D42</f>
        <v>5.3305832478885877</v>
      </c>
      <c r="E41" s="63">
        <f t="shared" si="24"/>
        <v>460.19361282010226</v>
      </c>
      <c r="F41" s="61">
        <f t="shared" si="24"/>
        <v>0.19576593042547855</v>
      </c>
      <c r="G41" s="61">
        <f t="shared" si="24"/>
        <v>0.55514076851165495</v>
      </c>
    </row>
    <row r="42" spans="1:7" x14ac:dyDescent="0.25">
      <c r="A42" s="16">
        <v>37</v>
      </c>
      <c r="B42" s="12"/>
      <c r="C42" s="61">
        <f>((C40-C45)/5)+C43</f>
        <v>5.2668545585110478E-2</v>
      </c>
      <c r="D42" s="61">
        <f t="shared" ref="D42:G42" si="25">((D40-D45)/5)+D43</f>
        <v>5.248226062028059</v>
      </c>
      <c r="E42" s="63">
        <f t="shared" si="25"/>
        <v>456.59325959035323</v>
      </c>
      <c r="F42" s="61">
        <f t="shared" si="25"/>
        <v>0.19249975671740585</v>
      </c>
      <c r="G42" s="61">
        <f t="shared" si="25"/>
        <v>0.55361177319407429</v>
      </c>
    </row>
    <row r="43" spans="1:7" x14ac:dyDescent="0.25">
      <c r="A43" s="16">
        <v>38</v>
      </c>
      <c r="B43" s="12"/>
      <c r="C43" s="61">
        <f>((C40-C45)/5)+C44</f>
        <v>5.2255091508764895E-2</v>
      </c>
      <c r="D43" s="61">
        <f t="shared" ref="D43:G43" si="26">((D40-D45)/5)+D44</f>
        <v>5.1658688761675302</v>
      </c>
      <c r="E43" s="63">
        <f t="shared" si="26"/>
        <v>452.9929063606042</v>
      </c>
      <c r="F43" s="61">
        <f t="shared" si="26"/>
        <v>0.18923358300933316</v>
      </c>
      <c r="G43" s="61">
        <f t="shared" si="26"/>
        <v>0.55208277787649362</v>
      </c>
    </row>
    <row r="44" spans="1:7" x14ac:dyDescent="0.25">
      <c r="A44" s="16">
        <v>39</v>
      </c>
      <c r="B44" s="12"/>
      <c r="C44" s="61">
        <f>((C40-C45)/5)+C45</f>
        <v>5.1841637432419312E-2</v>
      </c>
      <c r="D44" s="61">
        <f t="shared" ref="D44:G44" si="27">((D40-D45)/5)+D45</f>
        <v>5.0835116903070015</v>
      </c>
      <c r="E44" s="63">
        <f t="shared" si="27"/>
        <v>449.39255313085516</v>
      </c>
      <c r="F44" s="61">
        <f t="shared" si="27"/>
        <v>0.18596740930126046</v>
      </c>
      <c r="G44" s="61">
        <f t="shared" si="27"/>
        <v>0.55055378255891296</v>
      </c>
    </row>
    <row r="45" spans="1:7" x14ac:dyDescent="0.25">
      <c r="A45" s="15">
        <v>40</v>
      </c>
      <c r="B45" s="12"/>
      <c r="C45" s="61">
        <v>5.1428183356073728E-2</v>
      </c>
      <c r="D45" s="61">
        <v>5.0011545044464727</v>
      </c>
      <c r="E45" s="62">
        <v>445.79219990110613</v>
      </c>
      <c r="F45" s="61">
        <v>0.18270123559318777</v>
      </c>
      <c r="G45" s="61">
        <v>0.5490247872413323</v>
      </c>
    </row>
    <row r="46" spans="1:7" x14ac:dyDescent="0.25">
      <c r="A46" s="16">
        <v>41</v>
      </c>
      <c r="B46" s="12"/>
      <c r="C46" s="61">
        <f>((C45-C50)/5)+C47</f>
        <v>5.1115121354744511E-2</v>
      </c>
      <c r="D46" s="61">
        <f t="shared" ref="D46:G46" si="28">((D45-D50)/5)+D47</f>
        <v>4.9479961577968048</v>
      </c>
      <c r="E46" s="63">
        <f t="shared" si="28"/>
        <v>443.06460436096398</v>
      </c>
      <c r="F46" s="61">
        <f t="shared" si="28"/>
        <v>0.18028133902297022</v>
      </c>
      <c r="G46" s="61">
        <f t="shared" si="28"/>
        <v>0.54856889997651292</v>
      </c>
    </row>
    <row r="47" spans="1:7" x14ac:dyDescent="0.25">
      <c r="A47" s="16">
        <v>42</v>
      </c>
      <c r="B47" s="12"/>
      <c r="C47" s="61">
        <f>((C45-C50)/5)+C48</f>
        <v>5.0802059353415294E-2</v>
      </c>
      <c r="D47" s="61">
        <f t="shared" ref="D47:G47" si="29">((D45-D50)/5)+D48</f>
        <v>4.8948378111471378</v>
      </c>
      <c r="E47" s="63">
        <f t="shared" si="29"/>
        <v>440.33700882082178</v>
      </c>
      <c r="F47" s="61">
        <f t="shared" si="29"/>
        <v>0.17786144245275273</v>
      </c>
      <c r="G47" s="61">
        <f t="shared" si="29"/>
        <v>0.54811301271169355</v>
      </c>
    </row>
    <row r="48" spans="1:7" x14ac:dyDescent="0.25">
      <c r="A48" s="16">
        <v>43</v>
      </c>
      <c r="B48" s="12"/>
      <c r="C48" s="61">
        <f>((C45-C50)/5)+C49</f>
        <v>5.0488997352086076E-2</v>
      </c>
      <c r="D48" s="61">
        <f t="shared" ref="D48:G48" si="30">((D45-D50)/5)+D49</f>
        <v>4.8416794644974708</v>
      </c>
      <c r="E48" s="63">
        <f t="shared" si="30"/>
        <v>437.60941328067958</v>
      </c>
      <c r="F48" s="61">
        <f t="shared" si="30"/>
        <v>0.17544154588253524</v>
      </c>
      <c r="G48" s="61">
        <f t="shared" si="30"/>
        <v>0.54765712544687417</v>
      </c>
    </row>
    <row r="49" spans="1:7" x14ac:dyDescent="0.25">
      <c r="A49" s="16">
        <v>44</v>
      </c>
      <c r="B49" s="12"/>
      <c r="C49" s="61">
        <f>((C45-C50)/5)+C50</f>
        <v>5.0175935350756859E-2</v>
      </c>
      <c r="D49" s="61">
        <f t="shared" ref="D49:G49" si="31">((D45-D50)/5)+D50</f>
        <v>4.7885211178478038</v>
      </c>
      <c r="E49" s="63">
        <f t="shared" si="31"/>
        <v>434.88181774053737</v>
      </c>
      <c r="F49" s="61">
        <f t="shared" si="31"/>
        <v>0.17302164931231775</v>
      </c>
      <c r="G49" s="61">
        <f t="shared" si="31"/>
        <v>0.54720123818205479</v>
      </c>
    </row>
    <row r="50" spans="1:7" x14ac:dyDescent="0.25">
      <c r="A50" s="15">
        <v>45</v>
      </c>
      <c r="B50" s="12"/>
      <c r="C50" s="61">
        <v>4.9862873349427642E-2</v>
      </c>
      <c r="D50" s="61">
        <v>4.7353627711981368</v>
      </c>
      <c r="E50" s="62">
        <v>432.15422220039517</v>
      </c>
      <c r="F50" s="61">
        <v>0.17060175274210027</v>
      </c>
      <c r="G50" s="61">
        <v>0.54674535091723542</v>
      </c>
    </row>
    <row r="51" spans="1:7" x14ac:dyDescent="0.25">
      <c r="A51" s="16">
        <v>46</v>
      </c>
      <c r="B51" s="12"/>
      <c r="C51" s="61">
        <f>((C50-C55)/5)+C52</f>
        <v>4.9614903022533553E-2</v>
      </c>
      <c r="D51" s="61">
        <f t="shared" ref="D51:G51" si="32">((D50-D55)/5)+D52</f>
        <v>4.7112225834739663</v>
      </c>
      <c r="E51" s="63">
        <f t="shared" si="32"/>
        <v>429.97225236800784</v>
      </c>
      <c r="F51" s="61">
        <f t="shared" si="32"/>
        <v>0.16887462716789414</v>
      </c>
      <c r="G51" s="61">
        <f t="shared" si="32"/>
        <v>0.54744930866218722</v>
      </c>
    </row>
    <row r="52" spans="1:7" x14ac:dyDescent="0.25">
      <c r="A52" s="16">
        <v>47</v>
      </c>
      <c r="B52" s="12"/>
      <c r="C52" s="61">
        <f>((C50-C55)/5)+C53</f>
        <v>4.9366932695639472E-2</v>
      </c>
      <c r="D52" s="61">
        <f t="shared" ref="D52:G52" si="33">((D50-D55)/5)+D53</f>
        <v>4.6870823957497958</v>
      </c>
      <c r="E52" s="63">
        <f t="shared" si="33"/>
        <v>427.79028253562046</v>
      </c>
      <c r="F52" s="61">
        <f t="shared" si="33"/>
        <v>0.16714750159368802</v>
      </c>
      <c r="G52" s="61">
        <f t="shared" si="33"/>
        <v>0.5481532664071388</v>
      </c>
    </row>
    <row r="53" spans="1:7" x14ac:dyDescent="0.25">
      <c r="A53" s="16">
        <v>48</v>
      </c>
      <c r="B53" s="12"/>
      <c r="C53" s="61">
        <f>((C50-C55)/5)+C54</f>
        <v>4.9118962368745391E-2</v>
      </c>
      <c r="D53" s="61">
        <f t="shared" ref="D53:G53" si="34">((D50-D55)/5)+D54</f>
        <v>4.6629422080256253</v>
      </c>
      <c r="E53" s="63">
        <f t="shared" si="34"/>
        <v>425.60831270323308</v>
      </c>
      <c r="F53" s="61">
        <f t="shared" si="34"/>
        <v>0.1654203760194819</v>
      </c>
      <c r="G53" s="61">
        <f t="shared" si="34"/>
        <v>0.54885722415209037</v>
      </c>
    </row>
    <row r="54" spans="1:7" x14ac:dyDescent="0.25">
      <c r="A54" s="16">
        <v>49</v>
      </c>
      <c r="B54" s="12"/>
      <c r="C54" s="61">
        <f>((C50-C55)/5)+C55</f>
        <v>4.8870992041851309E-2</v>
      </c>
      <c r="D54" s="61">
        <f t="shared" ref="D54:G54" si="35">((D50-D55)/5)+D55</f>
        <v>4.6388020203014548</v>
      </c>
      <c r="E54" s="63">
        <f t="shared" si="35"/>
        <v>423.4263428708457</v>
      </c>
      <c r="F54" s="61">
        <f t="shared" si="35"/>
        <v>0.16369325044527577</v>
      </c>
      <c r="G54" s="61">
        <f t="shared" si="35"/>
        <v>0.54956118189704195</v>
      </c>
    </row>
    <row r="55" spans="1:7" x14ac:dyDescent="0.25">
      <c r="A55" s="15">
        <v>50</v>
      </c>
      <c r="B55" s="12"/>
      <c r="C55" s="61">
        <v>4.8623021714957228E-2</v>
      </c>
      <c r="D55" s="61">
        <v>4.6146618325772844</v>
      </c>
      <c r="E55" s="62">
        <v>421.24437303845832</v>
      </c>
      <c r="F55" s="61">
        <v>0.16196612487106965</v>
      </c>
      <c r="G55" s="61">
        <v>0.55026513964199353</v>
      </c>
    </row>
    <row r="56" spans="1:7" x14ac:dyDescent="0.25">
      <c r="A56" s="16">
        <v>51</v>
      </c>
      <c r="B56" s="12"/>
      <c r="C56" s="61">
        <f>((C55-C60)/5)+C57</f>
        <v>4.8476628677084348E-2</v>
      </c>
      <c r="D56" s="61">
        <f t="shared" ref="D56:G56" si="36">((D55-D60)/5)+D57</f>
        <v>4.6159891539379609</v>
      </c>
      <c r="E56" s="63">
        <f t="shared" si="36"/>
        <v>419.93104158050897</v>
      </c>
      <c r="F56" s="61">
        <f t="shared" si="36"/>
        <v>0.16083757406495741</v>
      </c>
      <c r="G56" s="61">
        <f t="shared" si="36"/>
        <v>0.55166888009320558</v>
      </c>
    </row>
    <row r="57" spans="1:7" x14ac:dyDescent="0.25">
      <c r="A57" s="16">
        <v>52</v>
      </c>
      <c r="B57" s="12"/>
      <c r="C57" s="61">
        <f>((C55-C60)/5)+C58</f>
        <v>4.8330235639211454E-2</v>
      </c>
      <c r="D57" s="61">
        <f t="shared" ref="D57:G57" si="37">((D55-D60)/5)+D58</f>
        <v>4.6173164752986366</v>
      </c>
      <c r="E57" s="63">
        <f t="shared" si="37"/>
        <v>418.61771012255952</v>
      </c>
      <c r="F57" s="61">
        <f t="shared" si="37"/>
        <v>0.15970902325884512</v>
      </c>
      <c r="G57" s="61">
        <f t="shared" si="37"/>
        <v>0.55307262054441753</v>
      </c>
    </row>
    <row r="58" spans="1:7" x14ac:dyDescent="0.25">
      <c r="A58" s="16">
        <v>53</v>
      </c>
      <c r="B58" s="12"/>
      <c r="C58" s="61">
        <f>((C55-C60)/5)+C59</f>
        <v>4.818384260133856E-2</v>
      </c>
      <c r="D58" s="61">
        <f t="shared" ref="D58:G58" si="38">((D55-D60)/5)+D59</f>
        <v>4.6186437966593124</v>
      </c>
      <c r="E58" s="63">
        <f t="shared" si="38"/>
        <v>417.30437866461006</v>
      </c>
      <c r="F58" s="61">
        <f t="shared" si="38"/>
        <v>0.15858047245273282</v>
      </c>
      <c r="G58" s="61">
        <f t="shared" si="38"/>
        <v>0.55447636099562947</v>
      </c>
    </row>
    <row r="59" spans="1:7" x14ac:dyDescent="0.25">
      <c r="A59" s="16">
        <v>54</v>
      </c>
      <c r="B59" s="12"/>
      <c r="C59" s="61">
        <f>((C55-C60)/5)+C60</f>
        <v>4.8037449563465666E-2</v>
      </c>
      <c r="D59" s="61">
        <f t="shared" ref="D59:G59" si="39">((D55-D60)/5)+D60</f>
        <v>4.6199711180199881</v>
      </c>
      <c r="E59" s="63">
        <f t="shared" si="39"/>
        <v>415.9910472066606</v>
      </c>
      <c r="F59" s="61">
        <f t="shared" si="39"/>
        <v>0.15745192164662053</v>
      </c>
      <c r="G59" s="61">
        <f t="shared" si="39"/>
        <v>0.55588010144684141</v>
      </c>
    </row>
    <row r="60" spans="1:7" x14ac:dyDescent="0.25">
      <c r="A60" s="16">
        <v>55</v>
      </c>
      <c r="B60" s="12"/>
      <c r="C60" s="61">
        <v>4.7891056525592772E-2</v>
      </c>
      <c r="D60" s="61">
        <v>4.6212984393806638</v>
      </c>
      <c r="E60" s="62">
        <v>414.67771574871114</v>
      </c>
      <c r="F60" s="61">
        <v>0.15632337084050824</v>
      </c>
      <c r="G60" s="61">
        <v>0.55728384189805336</v>
      </c>
    </row>
    <row r="61" spans="1:7" x14ac:dyDescent="0.25">
      <c r="C61" s="17"/>
      <c r="E61" s="18"/>
      <c r="F61" s="18"/>
      <c r="G61" s="18"/>
    </row>
    <row r="62" spans="1:7" x14ac:dyDescent="0.25">
      <c r="C62" s="17"/>
      <c r="E62" s="18"/>
      <c r="F62" s="18"/>
      <c r="G62" s="18"/>
    </row>
    <row r="63" spans="1:7" x14ac:dyDescent="0.25">
      <c r="C63" s="17"/>
      <c r="E63" s="18"/>
      <c r="F63" s="18"/>
      <c r="G63" s="18"/>
    </row>
    <row r="64" spans="1:7" x14ac:dyDescent="0.25">
      <c r="C64" s="17"/>
      <c r="E64" s="18"/>
      <c r="F64" s="18"/>
      <c r="G64" s="18"/>
    </row>
    <row r="65" spans="3:7" ht="15" customHeight="1" x14ac:dyDescent="0.25">
      <c r="C65" s="17"/>
      <c r="E65" s="18"/>
      <c r="F65" s="18"/>
      <c r="G65" s="18"/>
    </row>
    <row r="66" spans="3:7" x14ac:dyDescent="0.25">
      <c r="C66" s="17"/>
      <c r="E66" s="18"/>
      <c r="F66" s="18"/>
      <c r="G66" s="18"/>
    </row>
    <row r="67" spans="3:7" x14ac:dyDescent="0.25">
      <c r="C67" s="17"/>
      <c r="E67" s="18"/>
      <c r="F67" s="18"/>
      <c r="G67" s="18"/>
    </row>
    <row r="68" spans="3:7" x14ac:dyDescent="0.25">
      <c r="C68" s="17"/>
      <c r="E68" s="18"/>
      <c r="F68" s="18"/>
      <c r="G68" s="18"/>
    </row>
    <row r="69" spans="3:7" x14ac:dyDescent="0.25">
      <c r="C69" s="17"/>
      <c r="E69" s="18"/>
      <c r="F69" s="18"/>
      <c r="G69" s="18"/>
    </row>
    <row r="70" spans="3:7" x14ac:dyDescent="0.25">
      <c r="C70" s="17"/>
      <c r="E70" s="18"/>
      <c r="F70" s="18"/>
      <c r="G70" s="18"/>
    </row>
    <row r="71" spans="3:7" x14ac:dyDescent="0.25">
      <c r="C71" s="17"/>
      <c r="E71" s="18"/>
      <c r="F71" s="18"/>
      <c r="G71" s="18"/>
    </row>
    <row r="72" spans="3:7" x14ac:dyDescent="0.25">
      <c r="C72" s="17"/>
      <c r="E72" s="18"/>
      <c r="F72" s="18"/>
      <c r="G72" s="18"/>
    </row>
    <row r="73" spans="3:7" x14ac:dyDescent="0.25">
      <c r="C73" s="17"/>
      <c r="E73" s="18"/>
      <c r="F73" s="18"/>
      <c r="G73" s="18"/>
    </row>
    <row r="74" spans="3:7" x14ac:dyDescent="0.25">
      <c r="C74" s="17"/>
      <c r="E74" s="18"/>
      <c r="F74" s="18"/>
      <c r="G74" s="18"/>
    </row>
    <row r="75" spans="3:7" x14ac:dyDescent="0.25">
      <c r="C75" s="17"/>
      <c r="E75" s="18"/>
      <c r="F75" s="18"/>
      <c r="G75" s="18"/>
    </row>
    <row r="76" spans="3:7" x14ac:dyDescent="0.25">
      <c r="C76" s="17"/>
      <c r="E76" s="18"/>
      <c r="F76" s="18"/>
      <c r="G76" s="18"/>
    </row>
    <row r="77" spans="3:7" x14ac:dyDescent="0.25">
      <c r="C77" s="17"/>
      <c r="E77" s="18"/>
      <c r="F77" s="18"/>
      <c r="G77" s="18"/>
    </row>
    <row r="78" spans="3:7" x14ac:dyDescent="0.25">
      <c r="C78" s="17"/>
      <c r="E78" s="18"/>
      <c r="F78" s="18"/>
      <c r="G78" s="18"/>
    </row>
    <row r="79" spans="3:7" x14ac:dyDescent="0.25">
      <c r="C79" s="17"/>
      <c r="E79" s="18"/>
      <c r="F79" s="18"/>
      <c r="G79" s="18"/>
    </row>
    <row r="80" spans="3:7" x14ac:dyDescent="0.25">
      <c r="C80" s="17"/>
      <c r="E80" s="18"/>
      <c r="F80" s="18"/>
      <c r="G80" s="18"/>
    </row>
    <row r="81" spans="5:6" x14ac:dyDescent="0.25">
      <c r="E81" s="18"/>
      <c r="F81" s="18"/>
    </row>
    <row r="82" spans="5:6" x14ac:dyDescent="0.25">
      <c r="E82" s="18"/>
      <c r="F82" s="18"/>
    </row>
    <row r="83" spans="5:6" x14ac:dyDescent="0.25">
      <c r="E83" s="18"/>
      <c r="F83" s="18"/>
    </row>
  </sheetData>
  <pageMargins left="0.7" right="0.7" top="0.75" bottom="0.75" header="0.3" footer="0.3"/>
  <customProperties>
    <customPr name="LastActive" r:id="rId1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Travel Time Monitoring</vt:lpstr>
      <vt:lpstr>Flashing Yellow Arrow</vt:lpstr>
      <vt:lpstr>Emission Curves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Vijay Sabawat</dc:creator>
  <cp:lastModifiedBy>Bruce Coltharp</cp:lastModifiedBy>
  <dcterms:created xsi:type="dcterms:W3CDTF">2016-04-11T19:14:38Z</dcterms:created>
  <dcterms:modified xsi:type="dcterms:W3CDTF">2016-09-13T13:52:45Z</dcterms:modified>
</cp:coreProperties>
</file>